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6 Z RAPORLARI\"/>
    </mc:Choice>
  </mc:AlternateContent>
  <bookViews>
    <workbookView xWindow="0" yWindow="0" windowWidth="23040" windowHeight="9084" tabRatio="697" activeTab="2"/>
  </bookViews>
  <sheets>
    <sheet name="Sayfa1" sheetId="30" r:id="rId1"/>
    <sheet name="OCAK" sheetId="29" r:id="rId2"/>
    <sheet name="ŞUBAT" sheetId="3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31" l="1"/>
  <c r="I10" i="31"/>
  <c r="I9" i="31"/>
  <c r="J8" i="31"/>
  <c r="I8" i="31"/>
  <c r="H8" i="31"/>
  <c r="J7" i="31" l="1"/>
  <c r="I7" i="31"/>
  <c r="J6" i="31"/>
  <c r="I6" i="31"/>
  <c r="J5" i="31"/>
  <c r="I5" i="31"/>
  <c r="I4" i="31" l="1"/>
  <c r="I3" i="31" l="1"/>
  <c r="I31" i="31" s="1"/>
  <c r="B31" i="31"/>
  <c r="C31" i="31" s="1"/>
  <c r="D31" i="31" s="1"/>
  <c r="P31" i="31"/>
  <c r="O31" i="31"/>
  <c r="N31" i="31"/>
  <c r="M31" i="31"/>
  <c r="L31" i="31"/>
  <c r="K31" i="31"/>
  <c r="H31" i="31"/>
  <c r="G30" i="31"/>
  <c r="F30" i="31"/>
  <c r="C30" i="31"/>
  <c r="D30" i="31" s="1"/>
  <c r="F29" i="31"/>
  <c r="G29" i="31" s="1"/>
  <c r="C29" i="31"/>
  <c r="D29" i="31" s="1"/>
  <c r="F28" i="31"/>
  <c r="G28" i="31" s="1"/>
  <c r="C28" i="31"/>
  <c r="D28" i="31" s="1"/>
  <c r="F27" i="31"/>
  <c r="G27" i="31" s="1"/>
  <c r="C27" i="31"/>
  <c r="D27" i="31" s="1"/>
  <c r="F26" i="31"/>
  <c r="G26" i="31" s="1"/>
  <c r="C26" i="31"/>
  <c r="D26" i="31" s="1"/>
  <c r="F25" i="31"/>
  <c r="G25" i="31" s="1"/>
  <c r="C25" i="31"/>
  <c r="D25" i="31" s="1"/>
  <c r="F24" i="31"/>
  <c r="G24" i="31" s="1"/>
  <c r="C24" i="31"/>
  <c r="D24" i="31" s="1"/>
  <c r="F23" i="31"/>
  <c r="G23" i="31" s="1"/>
  <c r="C23" i="31"/>
  <c r="D23" i="31" s="1"/>
  <c r="F22" i="31"/>
  <c r="G22" i="31" s="1"/>
  <c r="C22" i="31"/>
  <c r="D22" i="31" s="1"/>
  <c r="F21" i="31"/>
  <c r="G21" i="31" s="1"/>
  <c r="C21" i="31"/>
  <c r="D21" i="31" s="1"/>
  <c r="F20" i="31"/>
  <c r="G20" i="31" s="1"/>
  <c r="C20" i="31"/>
  <c r="D20" i="31" s="1"/>
  <c r="F19" i="31"/>
  <c r="G19" i="31" s="1"/>
  <c r="C19" i="31"/>
  <c r="D19" i="31" s="1"/>
  <c r="F18" i="31"/>
  <c r="G18" i="31" s="1"/>
  <c r="C18" i="31"/>
  <c r="D18" i="31" s="1"/>
  <c r="F17" i="31"/>
  <c r="G17" i="31" s="1"/>
  <c r="C17" i="31"/>
  <c r="D17" i="31" s="1"/>
  <c r="F16" i="31"/>
  <c r="G16" i="31" s="1"/>
  <c r="C16" i="31"/>
  <c r="D16" i="31" s="1"/>
  <c r="F15" i="31"/>
  <c r="G15" i="31" s="1"/>
  <c r="C15" i="31"/>
  <c r="D15" i="31" s="1"/>
  <c r="F14" i="31"/>
  <c r="G14" i="31" s="1"/>
  <c r="C14" i="31"/>
  <c r="D14" i="31" s="1"/>
  <c r="F13" i="31"/>
  <c r="G13" i="31" s="1"/>
  <c r="C13" i="31"/>
  <c r="D13" i="31" s="1"/>
  <c r="F12" i="31"/>
  <c r="G12" i="31" s="1"/>
  <c r="C12" i="31"/>
  <c r="D12" i="31" s="1"/>
  <c r="F11" i="31"/>
  <c r="G11" i="31" s="1"/>
  <c r="C11" i="31"/>
  <c r="D11" i="31" s="1"/>
  <c r="F10" i="31"/>
  <c r="G10" i="31" s="1"/>
  <c r="C10" i="31"/>
  <c r="D10" i="31" s="1"/>
  <c r="F9" i="31"/>
  <c r="G9" i="31" s="1"/>
  <c r="C9" i="31"/>
  <c r="D9" i="31" s="1"/>
  <c r="F8" i="31"/>
  <c r="G8" i="31" s="1"/>
  <c r="C8" i="31"/>
  <c r="D8" i="31" s="1"/>
  <c r="F7" i="31"/>
  <c r="G7" i="31" s="1"/>
  <c r="C7" i="31"/>
  <c r="D7" i="31" s="1"/>
  <c r="E31" i="31"/>
  <c r="F31" i="31" s="1"/>
  <c r="G31" i="31" s="1"/>
  <c r="C6" i="31"/>
  <c r="D6" i="31" s="1"/>
  <c r="F5" i="31"/>
  <c r="G5" i="31" s="1"/>
  <c r="C5" i="31"/>
  <c r="D5" i="31" s="1"/>
  <c r="F4" i="31"/>
  <c r="G4" i="31" s="1"/>
  <c r="C4" i="31"/>
  <c r="D4" i="31" s="1"/>
  <c r="J31" i="31"/>
  <c r="F3" i="31"/>
  <c r="G3" i="31" s="1"/>
  <c r="C3" i="31"/>
  <c r="D3" i="31" s="1"/>
  <c r="J33" i="29"/>
  <c r="I33" i="29"/>
  <c r="J32" i="29"/>
  <c r="I32" i="29"/>
  <c r="F6" i="31" l="1"/>
  <c r="G6" i="31" s="1"/>
  <c r="J31" i="29"/>
  <c r="I31" i="29"/>
  <c r="I30" i="29" l="1"/>
  <c r="J29" i="29" l="1"/>
  <c r="I29" i="29"/>
  <c r="I28" i="29"/>
  <c r="J28" i="29"/>
  <c r="H37" i="30" l="1"/>
  <c r="H35" i="30"/>
  <c r="F31" i="30"/>
  <c r="F30" i="30"/>
  <c r="F29" i="30"/>
  <c r="D24" i="30"/>
  <c r="D11" i="30"/>
  <c r="I27" i="29" l="1"/>
  <c r="I26" i="29"/>
  <c r="I25" i="29"/>
  <c r="I24" i="29" l="1"/>
  <c r="J23" i="29" l="1"/>
  <c r="I23" i="29"/>
  <c r="J22" i="29"/>
  <c r="I22" i="29"/>
  <c r="J21" i="29"/>
  <c r="I21" i="29"/>
  <c r="J20" i="29" l="1"/>
  <c r="I20" i="29"/>
  <c r="J19" i="29"/>
  <c r="I19" i="29"/>
  <c r="I18" i="29"/>
  <c r="I17" i="29" l="1"/>
  <c r="I16" i="29"/>
  <c r="I15" i="29" l="1"/>
  <c r="J14" i="29"/>
  <c r="I14" i="29"/>
  <c r="I13" i="29" l="1"/>
  <c r="J12" i="29"/>
  <c r="I12" i="29"/>
  <c r="J11" i="29"/>
  <c r="I11" i="29"/>
  <c r="I10" i="29" l="1"/>
  <c r="I9" i="29" l="1"/>
  <c r="J8" i="29"/>
  <c r="I8" i="29"/>
  <c r="J7" i="29"/>
  <c r="I7" i="29"/>
  <c r="I6" i="29"/>
  <c r="E6" i="29"/>
  <c r="B6" i="29"/>
  <c r="P34" i="29"/>
  <c r="J5" i="29"/>
  <c r="I5" i="29"/>
  <c r="J3" i="29" l="1"/>
  <c r="I3" i="29"/>
  <c r="I4" i="29" l="1"/>
  <c r="F33" i="29" l="1"/>
  <c r="G33" i="29" s="1"/>
  <c r="C33" i="29"/>
  <c r="D33" i="29" s="1"/>
  <c r="L34" i="29"/>
  <c r="O34" i="29" l="1"/>
  <c r="N34" i="29" l="1"/>
  <c r="M34" i="29"/>
  <c r="K34" i="29"/>
  <c r="J34" i="29"/>
  <c r="I34" i="29"/>
  <c r="H34" i="29"/>
  <c r="E34" i="29"/>
  <c r="F34" i="29" s="1"/>
  <c r="G34" i="29" s="1"/>
  <c r="B34" i="29"/>
  <c r="C34" i="29" s="1"/>
  <c r="D34" i="29" s="1"/>
  <c r="F32" i="29"/>
  <c r="G32" i="29" s="1"/>
  <c r="C32" i="29"/>
  <c r="D32" i="29" s="1"/>
  <c r="F31" i="29"/>
  <c r="G31" i="29" s="1"/>
  <c r="C31" i="29"/>
  <c r="D31" i="29" s="1"/>
  <c r="F30" i="29"/>
  <c r="G30" i="29" s="1"/>
  <c r="C30" i="29"/>
  <c r="D30" i="29" s="1"/>
  <c r="F29" i="29"/>
  <c r="G29" i="29" s="1"/>
  <c r="C29" i="29"/>
  <c r="D29" i="29" s="1"/>
  <c r="F28" i="29"/>
  <c r="G28" i="29" s="1"/>
  <c r="C28" i="29"/>
  <c r="D28" i="29" s="1"/>
  <c r="F27" i="29"/>
  <c r="G27" i="29" s="1"/>
  <c r="C27" i="29"/>
  <c r="D27" i="29" s="1"/>
  <c r="F26" i="29"/>
  <c r="G26" i="29" s="1"/>
  <c r="C26" i="29"/>
  <c r="D26" i="29" s="1"/>
  <c r="F25" i="29"/>
  <c r="G25" i="29" s="1"/>
  <c r="C25" i="29"/>
  <c r="D25" i="29" s="1"/>
  <c r="F24" i="29"/>
  <c r="G24" i="29" s="1"/>
  <c r="C24" i="29"/>
  <c r="D24" i="29" s="1"/>
  <c r="F23" i="29"/>
  <c r="G23" i="29" s="1"/>
  <c r="C23" i="29"/>
  <c r="D23" i="29" s="1"/>
  <c r="F22" i="29"/>
  <c r="G22" i="29" s="1"/>
  <c r="C22" i="29"/>
  <c r="D22" i="29" s="1"/>
  <c r="F21" i="29"/>
  <c r="G21" i="29" s="1"/>
  <c r="C21" i="29"/>
  <c r="D21" i="29" s="1"/>
  <c r="F20" i="29"/>
  <c r="G20" i="29" s="1"/>
  <c r="C20" i="29"/>
  <c r="D20" i="29" s="1"/>
  <c r="F19" i="29"/>
  <c r="G19" i="29" s="1"/>
  <c r="C19" i="29"/>
  <c r="D19" i="29" s="1"/>
  <c r="F18" i="29"/>
  <c r="G18" i="29" s="1"/>
  <c r="C18" i="29"/>
  <c r="D18" i="29" s="1"/>
  <c r="F17" i="29"/>
  <c r="G17" i="29" s="1"/>
  <c r="C17" i="29"/>
  <c r="D17" i="29" s="1"/>
  <c r="F16" i="29"/>
  <c r="G16" i="29" s="1"/>
  <c r="C16" i="29"/>
  <c r="D16" i="29" s="1"/>
  <c r="F15" i="29"/>
  <c r="G15" i="29" s="1"/>
  <c r="C15" i="29"/>
  <c r="D15" i="29" s="1"/>
  <c r="F14" i="29"/>
  <c r="G14" i="29" s="1"/>
  <c r="C14" i="29"/>
  <c r="D14" i="29" s="1"/>
  <c r="F13" i="29"/>
  <c r="G13" i="29" s="1"/>
  <c r="C13" i="29"/>
  <c r="D13" i="29" s="1"/>
  <c r="F12" i="29"/>
  <c r="G12" i="29" s="1"/>
  <c r="C12" i="29"/>
  <c r="D12" i="29" s="1"/>
  <c r="F11" i="29"/>
  <c r="G11" i="29" s="1"/>
  <c r="C11" i="29"/>
  <c r="D11" i="29" s="1"/>
  <c r="F10" i="29"/>
  <c r="G10" i="29" s="1"/>
  <c r="C10" i="29"/>
  <c r="D10" i="29" s="1"/>
  <c r="F9" i="29"/>
  <c r="G9" i="29" s="1"/>
  <c r="C9" i="29"/>
  <c r="D9" i="29" s="1"/>
  <c r="F8" i="29"/>
  <c r="G8" i="29" s="1"/>
  <c r="C8" i="29"/>
  <c r="D8" i="29" s="1"/>
  <c r="F7" i="29"/>
  <c r="G7" i="29" s="1"/>
  <c r="C7" i="29"/>
  <c r="D7" i="29" s="1"/>
  <c r="F6" i="29"/>
  <c r="G6" i="29" s="1"/>
  <c r="C6" i="29"/>
  <c r="D6" i="29" s="1"/>
  <c r="F5" i="29"/>
  <c r="G5" i="29" s="1"/>
  <c r="C5" i="29"/>
  <c r="D5" i="29" s="1"/>
  <c r="F4" i="29"/>
  <c r="G4" i="29" s="1"/>
  <c r="C4" i="29"/>
  <c r="D4" i="29" s="1"/>
  <c r="F3" i="29"/>
  <c r="G3" i="29" s="1"/>
  <c r="C3" i="29"/>
  <c r="D3" i="29" s="1"/>
</calcChain>
</file>

<file path=xl/sharedStrings.xml><?xml version="1.0" encoding="utf-8"?>
<sst xmlns="http://schemas.openxmlformats.org/spreadsheetml/2006/main" count="52" uniqueCount="37">
  <si>
    <t>TARİH</t>
  </si>
  <si>
    <t>YİYECEK</t>
  </si>
  <si>
    <t>İÇECEK</t>
  </si>
  <si>
    <t>NAKİT</t>
  </si>
  <si>
    <t>K.KARTI</t>
  </si>
  <si>
    <t>QR ÖDEME</t>
  </si>
  <si>
    <t>MULTİNET</t>
  </si>
  <si>
    <t>METROPOL</t>
  </si>
  <si>
    <t>TİCKET</t>
  </si>
  <si>
    <t>TRENDYOL ONLİNE</t>
  </si>
  <si>
    <t>YEMEK SEPETİ</t>
  </si>
  <si>
    <t>,</t>
  </si>
  <si>
    <t>SETCARD</t>
  </si>
  <si>
    <t>Kasa avansı: 580₺</t>
  </si>
  <si>
    <t>Banka: 816.651,12₺</t>
  </si>
  <si>
    <t>27.01.2026 Gün sonu</t>
  </si>
  <si>
    <t>Nakit gelir: 4.415,33₺</t>
  </si>
  <si>
    <t>Pos gelir: 35.599,17₺</t>
  </si>
  <si>
    <t>Metropol kart: 290₺</t>
  </si>
  <si>
    <t>Ticket kart: 0₺</t>
  </si>
  <si>
    <t>Multinet kart: 566₺</t>
  </si>
  <si>
    <t>Trendyol online: 0₺</t>
  </si>
  <si>
    <t>Yemek sepeti: 0₺</t>
  </si>
  <si>
    <t>Setcard:0₺</t>
  </si>
  <si>
    <t>Nakit gelirden bankaya yatan: 3.825,33₺</t>
  </si>
  <si>
    <t>Nakit Harcama:</t>
  </si>
  <si>
    <t>Taksi : 250₺</t>
  </si>
  <si>
    <t>Alışveriş: 340₺</t>
  </si>
  <si>
    <t>Banka çıkış</t>
  </si>
  <si>
    <t>Şirket ödemeleri:44.247,97</t>
  </si>
  <si>
    <t>Buski :5.660</t>
  </si>
  <si>
    <t>Bursagaz :63.110</t>
  </si>
  <si>
    <t>Alışveriş :1.436</t>
  </si>
  <si>
    <t>Maaş ödemesi:10.399,78</t>
  </si>
  <si>
    <t>Banka: 782.876,86₺</t>
  </si>
  <si>
    <t>Yemek kartı: 58.486,80₺</t>
  </si>
  <si>
    <t xml:space="preserve"> Toplam kasa: 841.943,66₺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</si>
</sst>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" fontId="0" fillId="2" borderId="1" xfId="0" applyNumberFormat="1" applyFill="1" applyBorder="1"/>
    <xf numFmtId="4" fontId="0" fillId="2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Alignment="1">
      <alignment horizontal="center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center"/>
    </xf>
    <xf numFmtId="4" fontId="0" fillId="0" borderId="0" xfId="0" applyNumberFormat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H33" sqref="H33"/>
    </sheetView>
  </sheetViews>
  <sheetFormatPr defaultRowHeight="14.4" x14ac:dyDescent="0.3"/>
  <cols>
    <col min="1" max="1" width="10" bestFit="1" customWidth="1"/>
    <col min="2" max="2" width="34.109375" bestFit="1" customWidth="1"/>
  </cols>
  <sheetData>
    <row r="1" spans="1:4" x14ac:dyDescent="0.3">
      <c r="A1" s="24">
        <v>841943.66</v>
      </c>
      <c r="B1" s="25" t="s">
        <v>13</v>
      </c>
    </row>
    <row r="2" spans="1:4" x14ac:dyDescent="0.3">
      <c r="B2" s="25" t="s">
        <v>14</v>
      </c>
    </row>
    <row r="3" spans="1:4" x14ac:dyDescent="0.3">
      <c r="B3" s="25"/>
    </row>
    <row r="4" spans="1:4" x14ac:dyDescent="0.3">
      <c r="B4" s="25" t="s">
        <v>15</v>
      </c>
    </row>
    <row r="5" spans="1:4" x14ac:dyDescent="0.3">
      <c r="B5" s="25" t="s">
        <v>16</v>
      </c>
      <c r="D5">
        <v>4415.33</v>
      </c>
    </row>
    <row r="6" spans="1:4" x14ac:dyDescent="0.3">
      <c r="B6" s="25" t="s">
        <v>17</v>
      </c>
      <c r="D6">
        <v>35599.17</v>
      </c>
    </row>
    <row r="7" spans="1:4" x14ac:dyDescent="0.3">
      <c r="B7" s="25" t="s">
        <v>18</v>
      </c>
      <c r="D7">
        <v>290</v>
      </c>
    </row>
    <row r="8" spans="1:4" x14ac:dyDescent="0.3">
      <c r="B8" s="25" t="s">
        <v>19</v>
      </c>
      <c r="D8">
        <v>566</v>
      </c>
    </row>
    <row r="9" spans="1:4" x14ac:dyDescent="0.3">
      <c r="B9" s="25" t="s">
        <v>20</v>
      </c>
    </row>
    <row r="10" spans="1:4" x14ac:dyDescent="0.3">
      <c r="B10" s="25" t="s">
        <v>21</v>
      </c>
    </row>
    <row r="11" spans="1:4" x14ac:dyDescent="0.3">
      <c r="B11" s="25" t="s">
        <v>22</v>
      </c>
      <c r="D11">
        <f>SUM(D5:D10)</f>
        <v>40870.5</v>
      </c>
    </row>
    <row r="12" spans="1:4" x14ac:dyDescent="0.3">
      <c r="B12" s="25" t="s">
        <v>23</v>
      </c>
    </row>
    <row r="13" spans="1:4" x14ac:dyDescent="0.3">
      <c r="B13" s="25"/>
    </row>
    <row r="14" spans="1:4" x14ac:dyDescent="0.3">
      <c r="B14" s="25" t="s">
        <v>24</v>
      </c>
    </row>
    <row r="15" spans="1:4" x14ac:dyDescent="0.3">
      <c r="B15" s="25" t="s">
        <v>25</v>
      </c>
    </row>
    <row r="16" spans="1:4" x14ac:dyDescent="0.3">
      <c r="B16" s="25" t="s">
        <v>26</v>
      </c>
      <c r="D16">
        <v>250</v>
      </c>
    </row>
    <row r="17" spans="2:6" x14ac:dyDescent="0.3">
      <c r="B17" s="25" t="s">
        <v>27</v>
      </c>
      <c r="D17">
        <v>340</v>
      </c>
    </row>
    <row r="18" spans="2:6" x14ac:dyDescent="0.3">
      <c r="B18" s="25"/>
      <c r="D18">
        <v>44247.97</v>
      </c>
    </row>
    <row r="19" spans="2:6" x14ac:dyDescent="0.3">
      <c r="B19" s="25" t="s">
        <v>28</v>
      </c>
      <c r="D19">
        <v>5660</v>
      </c>
    </row>
    <row r="20" spans="2:6" x14ac:dyDescent="0.3">
      <c r="B20" s="25" t="s">
        <v>29</v>
      </c>
      <c r="D20">
        <v>63110</v>
      </c>
    </row>
    <row r="21" spans="2:6" x14ac:dyDescent="0.3">
      <c r="B21" s="25" t="s">
        <v>30</v>
      </c>
      <c r="D21">
        <v>1436</v>
      </c>
    </row>
    <row r="22" spans="2:6" x14ac:dyDescent="0.3">
      <c r="B22" s="25" t="s">
        <v>31</v>
      </c>
      <c r="D22">
        <v>10399.780000000001</v>
      </c>
    </row>
    <row r="23" spans="2:6" x14ac:dyDescent="0.3">
      <c r="B23" s="25" t="s">
        <v>32</v>
      </c>
    </row>
    <row r="24" spans="2:6" x14ac:dyDescent="0.3">
      <c r="B24" s="25" t="s">
        <v>33</v>
      </c>
      <c r="D24">
        <f>SUM(D16:D23)</f>
        <v>125443.75</v>
      </c>
    </row>
    <row r="25" spans="2:6" x14ac:dyDescent="0.3">
      <c r="B25" s="25"/>
    </row>
    <row r="26" spans="2:6" x14ac:dyDescent="0.3">
      <c r="B26" s="25" t="s">
        <v>15</v>
      </c>
    </row>
    <row r="27" spans="2:6" x14ac:dyDescent="0.3">
      <c r="B27" s="25" t="s">
        <v>13</v>
      </c>
    </row>
    <row r="28" spans="2:6" x14ac:dyDescent="0.3">
      <c r="B28" s="25" t="s">
        <v>34</v>
      </c>
      <c r="F28">
        <v>841943.66</v>
      </c>
    </row>
    <row r="29" spans="2:6" x14ac:dyDescent="0.3">
      <c r="B29" s="25" t="s">
        <v>35</v>
      </c>
      <c r="F29">
        <f>D11</f>
        <v>40870.5</v>
      </c>
    </row>
    <row r="30" spans="2:6" x14ac:dyDescent="0.3">
      <c r="B30" s="25"/>
      <c r="F30">
        <f>F28-F29</f>
        <v>801073.16</v>
      </c>
    </row>
    <row r="31" spans="2:6" x14ac:dyDescent="0.3">
      <c r="B31" s="25" t="s">
        <v>36</v>
      </c>
      <c r="F31">
        <f>F30+D24</f>
        <v>926516.91</v>
      </c>
    </row>
    <row r="32" spans="2:6" x14ac:dyDescent="0.3">
      <c r="B32" s="25"/>
    </row>
    <row r="33" spans="8:8" x14ac:dyDescent="0.3">
      <c r="H33">
        <v>926516.9</v>
      </c>
    </row>
    <row r="34" spans="8:8" x14ac:dyDescent="0.3">
      <c r="H34">
        <v>40870.5</v>
      </c>
    </row>
    <row r="35" spans="8:8" x14ac:dyDescent="0.3">
      <c r="H35">
        <f>H33+H34</f>
        <v>967387.4</v>
      </c>
    </row>
    <row r="36" spans="8:8" x14ac:dyDescent="0.3">
      <c r="H36">
        <v>125443.8</v>
      </c>
    </row>
    <row r="37" spans="8:8" x14ac:dyDescent="0.3">
      <c r="H37">
        <f>H35-H36</f>
        <v>841943.6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="90" zoomScaleNormal="90" workbookViewId="0">
      <pane ySplit="1" topLeftCell="A9" activePane="bottomLeft" state="frozen"/>
      <selection pane="bottomLeft" activeCell="C36" sqref="C36"/>
    </sheetView>
  </sheetViews>
  <sheetFormatPr defaultRowHeight="14.4" x14ac:dyDescent="0.3"/>
  <cols>
    <col min="1" max="1" width="10.88671875" style="13" bestFit="1" customWidth="1"/>
    <col min="2" max="2" width="12.6640625" style="7" customWidth="1"/>
    <col min="3" max="3" width="13.88671875" style="7" customWidth="1"/>
    <col min="4" max="4" width="14.88671875" style="7" customWidth="1"/>
    <col min="5" max="5" width="11.109375" style="7" bestFit="1" customWidth="1"/>
    <col min="6" max="6" width="11" style="7" bestFit="1" customWidth="1"/>
    <col min="7" max="7" width="9.88671875" style="7" bestFit="1" customWidth="1"/>
    <col min="8" max="8" width="11.109375" style="7" bestFit="1" customWidth="1"/>
    <col min="9" max="9" width="13.6640625" style="7" bestFit="1" customWidth="1"/>
    <col min="10" max="10" width="16.33203125" style="7" bestFit="1" customWidth="1"/>
    <col min="11" max="11" width="18" style="13" bestFit="1" customWidth="1"/>
    <col min="12" max="12" width="10.5546875" style="13" bestFit="1" customWidth="1"/>
    <col min="13" max="13" width="10" style="13" bestFit="1" customWidth="1"/>
    <col min="14" max="16" width="16.88671875" style="13" bestFit="1" customWidth="1"/>
    <col min="17" max="16384" width="8.88671875" style="7"/>
  </cols>
  <sheetData>
    <row r="1" spans="1:16" x14ac:dyDescent="0.3">
      <c r="A1" s="3" t="s">
        <v>0</v>
      </c>
      <c r="B1" s="4" t="s">
        <v>1</v>
      </c>
      <c r="C1" s="4"/>
      <c r="D1" s="4"/>
      <c r="E1" s="3" t="s">
        <v>2</v>
      </c>
      <c r="F1" s="4"/>
      <c r="G1" s="4"/>
      <c r="H1" s="4" t="s">
        <v>3</v>
      </c>
      <c r="I1" s="4" t="s">
        <v>4</v>
      </c>
      <c r="J1" s="5" t="s">
        <v>5</v>
      </c>
      <c r="K1" s="6" t="s">
        <v>6</v>
      </c>
      <c r="L1" s="6" t="s">
        <v>7</v>
      </c>
      <c r="M1" s="6" t="s">
        <v>8</v>
      </c>
      <c r="N1" s="6" t="s">
        <v>9</v>
      </c>
      <c r="O1" s="6" t="s">
        <v>10</v>
      </c>
      <c r="P1" s="6" t="s">
        <v>12</v>
      </c>
    </row>
    <row r="2" spans="1:16" x14ac:dyDescent="0.3">
      <c r="A2" s="8"/>
      <c r="B2" s="9">
        <v>0.1</v>
      </c>
      <c r="C2" s="9"/>
      <c r="D2" s="9"/>
      <c r="E2" s="9">
        <v>0.1</v>
      </c>
      <c r="F2" s="9"/>
      <c r="G2" s="9"/>
      <c r="H2" s="3"/>
      <c r="I2" s="3"/>
      <c r="J2" s="3"/>
      <c r="K2" s="3"/>
      <c r="L2" s="3"/>
      <c r="M2" s="3"/>
      <c r="N2" s="3"/>
      <c r="O2" s="3"/>
      <c r="P2" s="3"/>
    </row>
    <row r="3" spans="1:16" x14ac:dyDescent="0.3">
      <c r="A3" s="10">
        <v>46023</v>
      </c>
      <c r="B3" s="1">
        <v>3580</v>
      </c>
      <c r="C3" s="11">
        <f t="shared" ref="C3:C34" si="0">B3/1.1</f>
        <v>3254.5454545454545</v>
      </c>
      <c r="D3" s="11">
        <f t="shared" ref="D3:D32" si="1">C3*0.1</f>
        <v>325.4545454545455</v>
      </c>
      <c r="E3" s="1">
        <v>18475</v>
      </c>
      <c r="F3" s="11">
        <f t="shared" ref="F3:F34" si="2">E3/1.1</f>
        <v>16795.454545454544</v>
      </c>
      <c r="G3" s="11">
        <f t="shared" ref="G3:G32" si="3">F3*0.1</f>
        <v>1679.5454545454545</v>
      </c>
      <c r="H3" s="1">
        <v>3845</v>
      </c>
      <c r="I3" s="1">
        <f>17985-685-1290</f>
        <v>16010</v>
      </c>
      <c r="J3" s="1">
        <f>685+1290</f>
        <v>1975</v>
      </c>
      <c r="K3" s="12">
        <v>0</v>
      </c>
      <c r="L3" s="2">
        <v>302.5</v>
      </c>
      <c r="M3" s="2">
        <v>332.5</v>
      </c>
      <c r="N3" s="12">
        <v>0</v>
      </c>
      <c r="O3" s="2">
        <v>225</v>
      </c>
      <c r="P3" s="3"/>
    </row>
    <row r="4" spans="1:16" x14ac:dyDescent="0.3">
      <c r="A4" s="10">
        <v>46024</v>
      </c>
      <c r="B4" s="1">
        <v>5067.5</v>
      </c>
      <c r="C4" s="11">
        <f t="shared" si="0"/>
        <v>4606.8181818181811</v>
      </c>
      <c r="D4" s="11">
        <f t="shared" si="1"/>
        <v>460.68181818181813</v>
      </c>
      <c r="E4" s="1">
        <v>17298</v>
      </c>
      <c r="F4" s="11">
        <f t="shared" si="2"/>
        <v>15725.454545454544</v>
      </c>
      <c r="G4" s="11">
        <f t="shared" si="3"/>
        <v>1572.5454545454545</v>
      </c>
      <c r="H4" s="1">
        <v>2737.5</v>
      </c>
      <c r="I4" s="1">
        <f>18760-890</f>
        <v>17870</v>
      </c>
      <c r="J4" s="1">
        <v>890</v>
      </c>
      <c r="K4" s="2">
        <v>1015</v>
      </c>
      <c r="L4" s="12">
        <v>0</v>
      </c>
      <c r="M4" s="2">
        <v>1535</v>
      </c>
      <c r="N4" s="2">
        <v>595</v>
      </c>
      <c r="O4" s="2">
        <v>273</v>
      </c>
      <c r="P4" s="3"/>
    </row>
    <row r="5" spans="1:16" x14ac:dyDescent="0.3">
      <c r="A5" s="10">
        <v>46025</v>
      </c>
      <c r="B5" s="1">
        <v>5579.14</v>
      </c>
      <c r="C5" s="11">
        <f t="shared" si="0"/>
        <v>5071.9454545454546</v>
      </c>
      <c r="D5" s="11">
        <f t="shared" si="1"/>
        <v>507.1945454545455</v>
      </c>
      <c r="E5" s="1">
        <v>24202.36</v>
      </c>
      <c r="F5" s="11">
        <f t="shared" si="2"/>
        <v>22002.145454545454</v>
      </c>
      <c r="G5" s="11">
        <f t="shared" si="3"/>
        <v>2200.2145454545457</v>
      </c>
      <c r="H5" s="1">
        <v>6405</v>
      </c>
      <c r="I5" s="1">
        <f>23091.5-250-785</f>
        <v>22056.5</v>
      </c>
      <c r="J5" s="1">
        <f>250+785</f>
        <v>1035</v>
      </c>
      <c r="K5" s="2">
        <v>340</v>
      </c>
      <c r="L5" s="2">
        <v>125</v>
      </c>
      <c r="M5" s="2">
        <v>1250</v>
      </c>
      <c r="N5" s="12">
        <v>0</v>
      </c>
      <c r="O5" s="2">
        <v>285</v>
      </c>
      <c r="P5" s="2">
        <v>195</v>
      </c>
    </row>
    <row r="6" spans="1:16" x14ac:dyDescent="0.3">
      <c r="A6" s="10">
        <v>46026</v>
      </c>
      <c r="B6" s="1">
        <f>4297.5</f>
        <v>4297.5</v>
      </c>
      <c r="C6" s="11">
        <f t="shared" si="0"/>
        <v>3906.8181818181815</v>
      </c>
      <c r="D6" s="11">
        <f t="shared" si="1"/>
        <v>390.68181818181819</v>
      </c>
      <c r="E6" s="1">
        <f>22657.8+260</f>
        <v>22917.8</v>
      </c>
      <c r="F6" s="11">
        <f t="shared" si="2"/>
        <v>20834.363636363632</v>
      </c>
      <c r="G6" s="11">
        <f t="shared" si="3"/>
        <v>2083.4363636363632</v>
      </c>
      <c r="H6" s="1">
        <v>5592.5</v>
      </c>
      <c r="I6" s="1">
        <f>21090-810+260</f>
        <v>20540</v>
      </c>
      <c r="J6" s="1">
        <v>810</v>
      </c>
      <c r="K6" s="2">
        <v>1160</v>
      </c>
      <c r="L6" s="2">
        <v>255</v>
      </c>
      <c r="M6" s="2">
        <v>850</v>
      </c>
      <c r="N6" s="12">
        <v>0</v>
      </c>
      <c r="O6" s="2">
        <v>272.8</v>
      </c>
      <c r="P6" s="12">
        <v>0</v>
      </c>
    </row>
    <row r="7" spans="1:16" x14ac:dyDescent="0.3">
      <c r="A7" s="10">
        <v>46027</v>
      </c>
      <c r="B7" s="1">
        <v>4230</v>
      </c>
      <c r="C7" s="11">
        <f t="shared" si="0"/>
        <v>3845.454545454545</v>
      </c>
      <c r="D7" s="11">
        <f t="shared" si="1"/>
        <v>384.5454545454545</v>
      </c>
      <c r="E7" s="1">
        <v>21842.5</v>
      </c>
      <c r="F7" s="11">
        <f t="shared" si="2"/>
        <v>19856.81818181818</v>
      </c>
      <c r="G7" s="11">
        <f t="shared" si="3"/>
        <v>1985.681818181818</v>
      </c>
      <c r="H7" s="1">
        <v>6335</v>
      </c>
      <c r="I7" s="1">
        <f>19737.5-280-365</f>
        <v>19092.5</v>
      </c>
      <c r="J7" s="1">
        <f>280+365</f>
        <v>645</v>
      </c>
      <c r="K7" s="2">
        <v>420</v>
      </c>
      <c r="L7" s="2">
        <v>325</v>
      </c>
      <c r="M7" s="2">
        <v>230</v>
      </c>
      <c r="N7" s="12">
        <v>0</v>
      </c>
      <c r="O7" s="12">
        <v>0</v>
      </c>
      <c r="P7" s="12">
        <v>0</v>
      </c>
    </row>
    <row r="8" spans="1:16" x14ac:dyDescent="0.3">
      <c r="A8" s="10">
        <v>46028</v>
      </c>
      <c r="B8" s="1">
        <v>7957</v>
      </c>
      <c r="C8" s="11">
        <f t="shared" si="0"/>
        <v>7233.6363636363631</v>
      </c>
      <c r="D8" s="11">
        <f t="shared" si="1"/>
        <v>723.36363636363637</v>
      </c>
      <c r="E8" s="1">
        <v>30296.400000000001</v>
      </c>
      <c r="F8" s="11">
        <f t="shared" si="2"/>
        <v>27542.181818181816</v>
      </c>
      <c r="G8" s="11">
        <f t="shared" si="3"/>
        <v>2754.2181818181816</v>
      </c>
      <c r="H8" s="1">
        <v>9073.9</v>
      </c>
      <c r="I8" s="1">
        <f>28187.5-1273.5-269</f>
        <v>26645</v>
      </c>
      <c r="J8" s="1">
        <f>1273.5+269</f>
        <v>1542.5</v>
      </c>
      <c r="K8" s="2">
        <v>1181</v>
      </c>
      <c r="L8" s="12">
        <v>0</v>
      </c>
      <c r="M8" s="2">
        <v>250</v>
      </c>
      <c r="N8" s="2">
        <v>470</v>
      </c>
      <c r="O8" s="2">
        <v>522</v>
      </c>
      <c r="P8" s="12"/>
    </row>
    <row r="9" spans="1:16" x14ac:dyDescent="0.3">
      <c r="A9" s="10">
        <v>46029</v>
      </c>
      <c r="B9" s="1">
        <v>5328.5</v>
      </c>
      <c r="C9" s="11">
        <f t="shared" si="0"/>
        <v>4844.090909090909</v>
      </c>
      <c r="D9" s="11">
        <f t="shared" si="1"/>
        <v>484.40909090909093</v>
      </c>
      <c r="E9" s="1">
        <v>30211</v>
      </c>
      <c r="F9" s="11">
        <f t="shared" si="2"/>
        <v>27464.545454545452</v>
      </c>
      <c r="G9" s="11">
        <f t="shared" si="3"/>
        <v>2746.4545454545455</v>
      </c>
      <c r="H9" s="1">
        <v>3828</v>
      </c>
      <c r="I9" s="1">
        <f>31711.5-2122.5</f>
        <v>29589</v>
      </c>
      <c r="J9" s="1">
        <v>2122.5</v>
      </c>
      <c r="K9" s="2">
        <v>4156</v>
      </c>
      <c r="L9" s="2">
        <v>197.5</v>
      </c>
      <c r="M9" s="2">
        <v>1026</v>
      </c>
      <c r="N9" s="12">
        <v>0</v>
      </c>
      <c r="O9" s="12">
        <v>0</v>
      </c>
      <c r="P9" s="12">
        <v>0</v>
      </c>
    </row>
    <row r="10" spans="1:16" x14ac:dyDescent="0.3">
      <c r="A10" s="10">
        <v>46030</v>
      </c>
      <c r="B10" s="1">
        <v>4488</v>
      </c>
      <c r="C10" s="11">
        <f t="shared" si="0"/>
        <v>4079.9999999999995</v>
      </c>
      <c r="D10" s="11">
        <f t="shared" si="1"/>
        <v>408</v>
      </c>
      <c r="E10" s="1">
        <v>17770.400000000001</v>
      </c>
      <c r="F10" s="11">
        <f t="shared" si="2"/>
        <v>16154.90909090909</v>
      </c>
      <c r="G10" s="11">
        <f t="shared" si="3"/>
        <v>1615.4909090909091</v>
      </c>
      <c r="H10" s="1">
        <v>3190</v>
      </c>
      <c r="I10" s="1">
        <f>19068.4-2218</f>
        <v>16850.400000000001</v>
      </c>
      <c r="J10" s="1">
        <v>2218</v>
      </c>
      <c r="K10" s="2">
        <v>352</v>
      </c>
      <c r="L10" s="2">
        <v>215</v>
      </c>
      <c r="M10" s="2">
        <v>300</v>
      </c>
      <c r="N10" s="12">
        <v>0</v>
      </c>
      <c r="O10" s="12">
        <v>0</v>
      </c>
      <c r="P10" s="2">
        <v>345</v>
      </c>
    </row>
    <row r="11" spans="1:16" x14ac:dyDescent="0.3">
      <c r="A11" s="10">
        <v>46031</v>
      </c>
      <c r="B11" s="1">
        <v>3287.5</v>
      </c>
      <c r="C11" s="11">
        <f t="shared" si="0"/>
        <v>2988.6363636363635</v>
      </c>
      <c r="D11" s="11">
        <f t="shared" si="1"/>
        <v>298.86363636363637</v>
      </c>
      <c r="E11" s="1">
        <v>23875.5</v>
      </c>
      <c r="F11" s="11">
        <f t="shared" si="2"/>
        <v>21705</v>
      </c>
      <c r="G11" s="11">
        <f t="shared" si="3"/>
        <v>2170.5</v>
      </c>
      <c r="H11" s="1">
        <v>6325</v>
      </c>
      <c r="I11" s="1">
        <f>20838-1745-195</f>
        <v>18898</v>
      </c>
      <c r="J11" s="1">
        <f>1745+195</f>
        <v>1940</v>
      </c>
      <c r="K11" s="2">
        <v>1642</v>
      </c>
      <c r="L11" s="2">
        <v>547</v>
      </c>
      <c r="M11" s="2">
        <v>350</v>
      </c>
      <c r="N11" s="12">
        <v>0</v>
      </c>
      <c r="O11" s="12">
        <v>0</v>
      </c>
      <c r="P11" s="12">
        <v>0</v>
      </c>
    </row>
    <row r="12" spans="1:16" x14ac:dyDescent="0.3">
      <c r="A12" s="10">
        <v>46032</v>
      </c>
      <c r="B12" s="1">
        <v>5289</v>
      </c>
      <c r="C12" s="11">
        <f t="shared" si="0"/>
        <v>4808.181818181818</v>
      </c>
      <c r="D12" s="11">
        <f t="shared" si="1"/>
        <v>480.81818181818181</v>
      </c>
      <c r="E12" s="1">
        <v>28605.5</v>
      </c>
      <c r="F12" s="11">
        <f t="shared" si="2"/>
        <v>26004.999999999996</v>
      </c>
      <c r="G12" s="11">
        <f t="shared" si="3"/>
        <v>2600.5</v>
      </c>
      <c r="H12" s="1">
        <v>6211</v>
      </c>
      <c r="I12" s="1">
        <f>27151.5-725-445</f>
        <v>25981.5</v>
      </c>
      <c r="J12" s="1">
        <f>725+445</f>
        <v>1170</v>
      </c>
      <c r="K12" s="2">
        <v>1771</v>
      </c>
      <c r="L12" s="2">
        <v>230</v>
      </c>
      <c r="M12" s="2">
        <v>75</v>
      </c>
      <c r="N12" s="12">
        <v>0</v>
      </c>
      <c r="O12" s="2">
        <v>532</v>
      </c>
      <c r="P12" s="12">
        <v>0</v>
      </c>
    </row>
    <row r="13" spans="1:16" x14ac:dyDescent="0.3">
      <c r="A13" s="10">
        <v>46033</v>
      </c>
      <c r="B13" s="1">
        <v>3553</v>
      </c>
      <c r="C13" s="11">
        <f t="shared" si="0"/>
        <v>3229.9999999999995</v>
      </c>
      <c r="D13" s="11">
        <f t="shared" si="1"/>
        <v>323</v>
      </c>
      <c r="E13" s="1">
        <v>27194</v>
      </c>
      <c r="F13" s="11">
        <f t="shared" si="2"/>
        <v>24721.81818181818</v>
      </c>
      <c r="G13" s="11">
        <f t="shared" si="3"/>
        <v>2472.181818181818</v>
      </c>
      <c r="H13" s="1">
        <v>5460</v>
      </c>
      <c r="I13" s="1">
        <f>25287-907</f>
        <v>24380</v>
      </c>
      <c r="J13" s="1">
        <v>907</v>
      </c>
      <c r="K13" s="2">
        <v>616</v>
      </c>
      <c r="L13" s="2">
        <v>1227.5</v>
      </c>
      <c r="M13" s="2">
        <v>544</v>
      </c>
      <c r="N13" s="12">
        <v>0</v>
      </c>
      <c r="O13" s="12">
        <v>0</v>
      </c>
      <c r="P13" s="12">
        <v>0</v>
      </c>
    </row>
    <row r="14" spans="1:16" x14ac:dyDescent="0.3">
      <c r="A14" s="10">
        <v>46034</v>
      </c>
      <c r="B14" s="1">
        <v>4316.01</v>
      </c>
      <c r="C14" s="11">
        <f t="shared" si="0"/>
        <v>3923.6454545454544</v>
      </c>
      <c r="D14" s="11">
        <f t="shared" si="1"/>
        <v>392.36454545454546</v>
      </c>
      <c r="E14" s="1">
        <v>21525.49</v>
      </c>
      <c r="F14" s="11">
        <f t="shared" si="2"/>
        <v>19568.627272727274</v>
      </c>
      <c r="G14" s="11">
        <f t="shared" si="3"/>
        <v>1956.8627272727274</v>
      </c>
      <c r="H14" s="1">
        <v>4433.5</v>
      </c>
      <c r="I14" s="1">
        <f>20885-1142-1125</f>
        <v>18618</v>
      </c>
      <c r="J14" s="1">
        <f>1142+1125</f>
        <v>2267</v>
      </c>
      <c r="K14" s="2">
        <v>1539</v>
      </c>
      <c r="L14" s="2">
        <v>167.5</v>
      </c>
      <c r="M14" s="2">
        <v>1118</v>
      </c>
      <c r="N14" s="2">
        <v>180</v>
      </c>
      <c r="O14" s="2">
        <v>343</v>
      </c>
      <c r="P14" s="12">
        <v>0</v>
      </c>
    </row>
    <row r="15" spans="1:16" x14ac:dyDescent="0.3">
      <c r="A15" s="10">
        <v>46035</v>
      </c>
      <c r="B15" s="1">
        <v>2871.79</v>
      </c>
      <c r="C15" s="11">
        <f t="shared" si="0"/>
        <v>2610.7181818181816</v>
      </c>
      <c r="D15" s="11">
        <f t="shared" si="1"/>
        <v>261.07181818181817</v>
      </c>
      <c r="E15" s="1">
        <v>16309.21</v>
      </c>
      <c r="F15" s="11">
        <f t="shared" si="2"/>
        <v>14826.554545454543</v>
      </c>
      <c r="G15" s="11">
        <f t="shared" si="3"/>
        <v>1482.6554545454544</v>
      </c>
      <c r="H15" s="1">
        <v>3963.5</v>
      </c>
      <c r="I15" s="1">
        <f>14842.5-630</f>
        <v>14212.5</v>
      </c>
      <c r="J15" s="1">
        <v>630</v>
      </c>
      <c r="K15" s="2">
        <v>1379</v>
      </c>
      <c r="L15" s="2">
        <v>168</v>
      </c>
      <c r="M15" s="2">
        <v>1807</v>
      </c>
      <c r="N15" s="12">
        <v>0</v>
      </c>
      <c r="O15" s="2">
        <v>375</v>
      </c>
      <c r="P15" s="2">
        <v>430</v>
      </c>
    </row>
    <row r="16" spans="1:16" x14ac:dyDescent="0.3">
      <c r="A16" s="10">
        <v>46036</v>
      </c>
      <c r="B16" s="22">
        <v>6905</v>
      </c>
      <c r="C16" s="11">
        <f t="shared" si="0"/>
        <v>6277.272727272727</v>
      </c>
      <c r="D16" s="11">
        <f t="shared" si="1"/>
        <v>627.72727272727275</v>
      </c>
      <c r="E16" s="22">
        <v>24005.5</v>
      </c>
      <c r="F16" s="11">
        <f t="shared" si="2"/>
        <v>21823.181818181816</v>
      </c>
      <c r="G16" s="11">
        <f t="shared" si="3"/>
        <v>2182.3181818181815</v>
      </c>
      <c r="H16" s="1">
        <v>4248.5</v>
      </c>
      <c r="I16" s="1">
        <f>26257-520</f>
        <v>25737</v>
      </c>
      <c r="J16" s="1">
        <v>520</v>
      </c>
      <c r="K16" s="2">
        <v>1364</v>
      </c>
      <c r="L16" s="12">
        <v>0</v>
      </c>
      <c r="M16" s="12">
        <v>0</v>
      </c>
      <c r="N16" s="12">
        <v>0</v>
      </c>
      <c r="O16" s="2">
        <v>405</v>
      </c>
      <c r="P16" s="12">
        <v>0</v>
      </c>
    </row>
    <row r="17" spans="1:16" ht="15" customHeight="1" x14ac:dyDescent="0.3">
      <c r="A17" s="10">
        <v>46037</v>
      </c>
      <c r="B17" s="1">
        <v>3504.49</v>
      </c>
      <c r="C17" s="11">
        <f t="shared" si="0"/>
        <v>3185.8999999999996</v>
      </c>
      <c r="D17" s="11">
        <f t="shared" si="1"/>
        <v>318.58999999999997</v>
      </c>
      <c r="E17" s="1">
        <v>19189.009999999998</v>
      </c>
      <c r="F17" s="11">
        <f t="shared" si="2"/>
        <v>17444.554545454543</v>
      </c>
      <c r="G17" s="11">
        <f t="shared" si="3"/>
        <v>1744.4554545454544</v>
      </c>
      <c r="H17" s="1">
        <v>3697.5</v>
      </c>
      <c r="I17" s="1">
        <f>18666-840</f>
        <v>17826</v>
      </c>
      <c r="J17" s="1">
        <v>840</v>
      </c>
      <c r="K17" s="2">
        <v>460</v>
      </c>
      <c r="L17" s="2">
        <v>275</v>
      </c>
      <c r="M17" s="2">
        <v>1359</v>
      </c>
      <c r="N17" s="2">
        <v>330</v>
      </c>
      <c r="O17" s="12">
        <v>0</v>
      </c>
      <c r="P17" s="12">
        <v>0</v>
      </c>
    </row>
    <row r="18" spans="1:16" x14ac:dyDescent="0.3">
      <c r="A18" s="10">
        <v>46038</v>
      </c>
      <c r="B18" s="1">
        <v>4222.5</v>
      </c>
      <c r="C18" s="11">
        <f t="shared" si="0"/>
        <v>3838.6363636363635</v>
      </c>
      <c r="D18" s="11">
        <f t="shared" si="1"/>
        <v>383.86363636363637</v>
      </c>
      <c r="E18" s="1">
        <v>23921</v>
      </c>
      <c r="F18" s="11">
        <f t="shared" si="2"/>
        <v>21746.363636363636</v>
      </c>
      <c r="G18" s="11">
        <f t="shared" si="3"/>
        <v>2174.6363636363635</v>
      </c>
      <c r="H18" s="1">
        <v>6785.5</v>
      </c>
      <c r="I18" s="1">
        <f>20679-650</f>
        <v>20029</v>
      </c>
      <c r="J18" s="1">
        <v>650</v>
      </c>
      <c r="K18" s="2">
        <v>2379</v>
      </c>
      <c r="L18" s="2">
        <v>895</v>
      </c>
      <c r="M18" s="2">
        <v>37.5</v>
      </c>
      <c r="N18" s="2">
        <v>315</v>
      </c>
      <c r="O18" s="2">
        <v>364</v>
      </c>
      <c r="P18" s="12">
        <v>0</v>
      </c>
    </row>
    <row r="19" spans="1:16" x14ac:dyDescent="0.3">
      <c r="A19" s="10">
        <v>46039</v>
      </c>
      <c r="B19" s="1">
        <v>4307.5</v>
      </c>
      <c r="C19" s="11">
        <f t="shared" si="0"/>
        <v>3915.9090909090905</v>
      </c>
      <c r="D19" s="11">
        <f t="shared" si="1"/>
        <v>391.59090909090907</v>
      </c>
      <c r="E19" s="1">
        <v>31475</v>
      </c>
      <c r="F19" s="11">
        <f t="shared" si="2"/>
        <v>28613.63636363636</v>
      </c>
      <c r="G19" s="11">
        <f t="shared" si="3"/>
        <v>2861.363636363636</v>
      </c>
      <c r="H19" s="1">
        <v>6147</v>
      </c>
      <c r="I19" s="1">
        <f>29635.5-901-360</f>
        <v>28374.5</v>
      </c>
      <c r="J19" s="1">
        <f>901+360</f>
        <v>1261</v>
      </c>
      <c r="K19" s="2">
        <v>538</v>
      </c>
      <c r="L19" s="2">
        <v>155</v>
      </c>
      <c r="M19" s="2">
        <v>595</v>
      </c>
      <c r="N19" s="12">
        <v>0</v>
      </c>
      <c r="O19" s="12">
        <v>0</v>
      </c>
      <c r="P19" s="12">
        <v>0</v>
      </c>
    </row>
    <row r="20" spans="1:16" x14ac:dyDescent="0.3">
      <c r="A20" s="10">
        <v>46040</v>
      </c>
      <c r="B20" s="1">
        <v>5013</v>
      </c>
      <c r="C20" s="11">
        <f t="shared" si="0"/>
        <v>4557.272727272727</v>
      </c>
      <c r="D20" s="11">
        <f t="shared" si="1"/>
        <v>455.72727272727275</v>
      </c>
      <c r="E20" s="1">
        <v>24833</v>
      </c>
      <c r="F20" s="11">
        <f t="shared" si="2"/>
        <v>22575.454545454544</v>
      </c>
      <c r="G20" s="11">
        <f t="shared" si="3"/>
        <v>2257.5454545454545</v>
      </c>
      <c r="H20" s="1">
        <v>3590</v>
      </c>
      <c r="I20" s="1">
        <f>26256-600-970</f>
        <v>24686</v>
      </c>
      <c r="J20" s="1">
        <f>600+970</f>
        <v>1570</v>
      </c>
      <c r="K20" s="2">
        <v>244</v>
      </c>
      <c r="L20" s="12">
        <v>0</v>
      </c>
      <c r="M20" s="2">
        <v>1495</v>
      </c>
      <c r="N20" s="12">
        <v>0</v>
      </c>
      <c r="O20" s="12">
        <v>0</v>
      </c>
      <c r="P20" s="12">
        <v>0</v>
      </c>
    </row>
    <row r="21" spans="1:16" x14ac:dyDescent="0.3">
      <c r="A21" s="10">
        <v>46041</v>
      </c>
      <c r="B21" s="1">
        <v>4418</v>
      </c>
      <c r="C21" s="11">
        <f t="shared" si="0"/>
        <v>4016.363636363636</v>
      </c>
      <c r="D21" s="11">
        <f t="shared" si="1"/>
        <v>401.63636363636363</v>
      </c>
      <c r="E21" s="1">
        <v>15242</v>
      </c>
      <c r="F21" s="11">
        <f t="shared" si="2"/>
        <v>13856.363636363636</v>
      </c>
      <c r="G21" s="11">
        <f t="shared" si="3"/>
        <v>1385.6363636363637</v>
      </c>
      <c r="H21" s="1">
        <v>1330.49</v>
      </c>
      <c r="I21" s="1">
        <f>18014.51-1391-180</f>
        <v>16443.509999999998</v>
      </c>
      <c r="J21" s="1">
        <f>1391+180</f>
        <v>1571</v>
      </c>
      <c r="K21" s="2">
        <v>225</v>
      </c>
      <c r="L21" s="2">
        <v>512.5</v>
      </c>
      <c r="M21" s="2">
        <v>484</v>
      </c>
      <c r="N21" s="2">
        <v>315</v>
      </c>
      <c r="O21" s="12">
        <v>0</v>
      </c>
      <c r="P21" s="12">
        <v>0</v>
      </c>
    </row>
    <row r="22" spans="1:16" s="21" customFormat="1" x14ac:dyDescent="0.3">
      <c r="A22" s="10">
        <v>46042</v>
      </c>
      <c r="B22" s="22">
        <v>2380.5</v>
      </c>
      <c r="C22" s="19">
        <f t="shared" si="0"/>
        <v>2164.090909090909</v>
      </c>
      <c r="D22" s="19">
        <f t="shared" si="1"/>
        <v>216.40909090909091</v>
      </c>
      <c r="E22" s="22">
        <v>18164</v>
      </c>
      <c r="F22" s="19">
        <f t="shared" si="2"/>
        <v>16512.727272727272</v>
      </c>
      <c r="G22" s="19">
        <f t="shared" si="3"/>
        <v>1651.2727272727273</v>
      </c>
      <c r="H22" s="22">
        <v>4796</v>
      </c>
      <c r="I22" s="22">
        <f>15468.5-1373-150</f>
        <v>13945.5</v>
      </c>
      <c r="J22" s="22">
        <f>1373+150</f>
        <v>1523</v>
      </c>
      <c r="K22" s="23">
        <v>653</v>
      </c>
      <c r="L22" s="23">
        <v>220</v>
      </c>
      <c r="M22" s="23">
        <v>192</v>
      </c>
      <c r="N22" s="23">
        <v>280</v>
      </c>
      <c r="O22" s="20">
        <v>0</v>
      </c>
      <c r="P22" s="20">
        <v>0</v>
      </c>
    </row>
    <row r="23" spans="1:16" s="21" customFormat="1" ht="15" customHeight="1" x14ac:dyDescent="0.3">
      <c r="A23" s="10">
        <v>46043</v>
      </c>
      <c r="B23" s="22">
        <v>4072</v>
      </c>
      <c r="C23" s="19">
        <f t="shared" si="0"/>
        <v>3701.8181818181815</v>
      </c>
      <c r="D23" s="19">
        <f t="shared" si="1"/>
        <v>370.18181818181819</v>
      </c>
      <c r="E23" s="22">
        <v>18995</v>
      </c>
      <c r="F23" s="19">
        <f t="shared" si="2"/>
        <v>17268.181818181816</v>
      </c>
      <c r="G23" s="19">
        <f t="shared" si="3"/>
        <v>1726.8181818181818</v>
      </c>
      <c r="H23" s="22">
        <v>3371</v>
      </c>
      <c r="I23" s="22">
        <f>18649-2882-755</f>
        <v>15012</v>
      </c>
      <c r="J23" s="22">
        <f>2882+755</f>
        <v>3637</v>
      </c>
      <c r="K23" s="20">
        <v>0</v>
      </c>
      <c r="L23" s="23">
        <v>130</v>
      </c>
      <c r="M23" s="23">
        <v>447</v>
      </c>
      <c r="N23" s="23">
        <v>515</v>
      </c>
      <c r="O23" s="23">
        <v>532</v>
      </c>
      <c r="P23" s="20">
        <v>0</v>
      </c>
    </row>
    <row r="24" spans="1:16" x14ac:dyDescent="0.3">
      <c r="A24" s="10">
        <v>46044</v>
      </c>
      <c r="B24" s="1">
        <v>3615</v>
      </c>
      <c r="C24" s="11">
        <f t="shared" si="0"/>
        <v>3286.363636363636</v>
      </c>
      <c r="D24" s="11">
        <f t="shared" si="1"/>
        <v>328.63636363636363</v>
      </c>
      <c r="E24" s="1">
        <v>18803</v>
      </c>
      <c r="F24" s="11">
        <f t="shared" si="2"/>
        <v>17093.636363636364</v>
      </c>
      <c r="G24" s="11">
        <f t="shared" si="3"/>
        <v>1709.3636363636365</v>
      </c>
      <c r="H24" s="1">
        <v>3230</v>
      </c>
      <c r="I24" s="1">
        <f>18493-1170</f>
        <v>17323</v>
      </c>
      <c r="J24" s="1">
        <v>1170</v>
      </c>
      <c r="K24" s="2">
        <v>460</v>
      </c>
      <c r="L24" s="12">
        <v>0</v>
      </c>
      <c r="M24" s="12">
        <v>0</v>
      </c>
      <c r="N24" s="2">
        <v>695</v>
      </c>
      <c r="O24" s="12">
        <v>0</v>
      </c>
      <c r="P24" s="12">
        <v>0</v>
      </c>
    </row>
    <row r="25" spans="1:16" x14ac:dyDescent="0.3">
      <c r="A25" s="10">
        <v>46045</v>
      </c>
      <c r="B25" s="1">
        <v>3465.5</v>
      </c>
      <c r="C25" s="11">
        <f t="shared" si="0"/>
        <v>3150.454545454545</v>
      </c>
      <c r="D25" s="11">
        <f t="shared" si="1"/>
        <v>315.0454545454545</v>
      </c>
      <c r="E25" s="1">
        <v>20903.5</v>
      </c>
      <c r="F25" s="11">
        <f t="shared" si="2"/>
        <v>19003.181818181816</v>
      </c>
      <c r="G25" s="11">
        <f t="shared" si="3"/>
        <v>1900.3181818181818</v>
      </c>
      <c r="H25" s="1">
        <v>3856</v>
      </c>
      <c r="I25" s="1">
        <f>20198-861</f>
        <v>19337</v>
      </c>
      <c r="J25" s="1">
        <v>861</v>
      </c>
      <c r="K25" s="2">
        <v>941</v>
      </c>
      <c r="L25" s="2">
        <v>390</v>
      </c>
      <c r="M25" s="12">
        <v>0</v>
      </c>
      <c r="N25" s="2">
        <v>315</v>
      </c>
      <c r="O25" s="12">
        <v>0</v>
      </c>
      <c r="P25" s="12">
        <v>0</v>
      </c>
    </row>
    <row r="26" spans="1:16" x14ac:dyDescent="0.3">
      <c r="A26" s="10">
        <v>46046</v>
      </c>
      <c r="B26" s="1">
        <v>7501</v>
      </c>
      <c r="C26" s="11">
        <f t="shared" si="0"/>
        <v>6819.0909090909081</v>
      </c>
      <c r="D26" s="11">
        <f t="shared" si="1"/>
        <v>681.90909090909088</v>
      </c>
      <c r="E26" s="1">
        <v>39037.5</v>
      </c>
      <c r="F26" s="11">
        <f t="shared" si="2"/>
        <v>35488.63636363636</v>
      </c>
      <c r="G26" s="11">
        <f t="shared" si="3"/>
        <v>3548.863636363636</v>
      </c>
      <c r="H26" s="1">
        <v>5412.5</v>
      </c>
      <c r="I26" s="1">
        <f>41126-1157</f>
        <v>39969</v>
      </c>
      <c r="J26" s="1">
        <v>1157</v>
      </c>
      <c r="K26" s="2">
        <v>395</v>
      </c>
      <c r="L26" s="2">
        <v>162.5</v>
      </c>
      <c r="M26" s="2">
        <v>1268</v>
      </c>
      <c r="N26" s="12">
        <v>0</v>
      </c>
      <c r="O26" s="12">
        <v>0</v>
      </c>
      <c r="P26" s="2">
        <v>1690</v>
      </c>
    </row>
    <row r="27" spans="1:16" x14ac:dyDescent="0.3">
      <c r="A27" s="10">
        <v>46047</v>
      </c>
      <c r="B27" s="1">
        <v>6141.5</v>
      </c>
      <c r="C27" s="11">
        <f t="shared" si="0"/>
        <v>5583.181818181818</v>
      </c>
      <c r="D27" s="11">
        <f t="shared" si="1"/>
        <v>558.31818181818187</v>
      </c>
      <c r="E27" s="1">
        <v>36755.5</v>
      </c>
      <c r="F27" s="11">
        <f t="shared" si="2"/>
        <v>33414.090909090904</v>
      </c>
      <c r="G27" s="11">
        <f t="shared" si="3"/>
        <v>3341.4090909090905</v>
      </c>
      <c r="H27" s="1">
        <v>6536</v>
      </c>
      <c r="I27" s="1">
        <f>36361-1863</f>
        <v>34498</v>
      </c>
      <c r="J27" s="1">
        <v>1863</v>
      </c>
      <c r="K27" s="2">
        <v>290</v>
      </c>
      <c r="L27" s="2">
        <v>150</v>
      </c>
      <c r="M27" s="2">
        <v>545</v>
      </c>
      <c r="N27" s="12">
        <v>0</v>
      </c>
      <c r="O27" s="12">
        <v>0</v>
      </c>
      <c r="P27" s="12">
        <v>0</v>
      </c>
    </row>
    <row r="28" spans="1:16" x14ac:dyDescent="0.3">
      <c r="A28" s="10">
        <v>46048</v>
      </c>
      <c r="B28" s="1">
        <v>6343</v>
      </c>
      <c r="C28" s="11">
        <f t="shared" si="0"/>
        <v>5766.363636363636</v>
      </c>
      <c r="D28" s="11">
        <f t="shared" si="1"/>
        <v>576.63636363636363</v>
      </c>
      <c r="E28" s="1">
        <v>28794</v>
      </c>
      <c r="F28" s="11">
        <f t="shared" si="2"/>
        <v>26176.363636363636</v>
      </c>
      <c r="G28" s="11">
        <f t="shared" si="3"/>
        <v>2617.636363636364</v>
      </c>
      <c r="H28" s="1">
        <v>7950</v>
      </c>
      <c r="I28" s="1">
        <f>26747-315-850</f>
        <v>25582</v>
      </c>
      <c r="J28" s="1">
        <f>315+850</f>
        <v>1165</v>
      </c>
      <c r="K28" s="2">
        <v>132</v>
      </c>
      <c r="L28" s="12">
        <v>0</v>
      </c>
      <c r="M28" s="12">
        <v>0</v>
      </c>
      <c r="N28" s="2">
        <v>315</v>
      </c>
      <c r="O28" s="2">
        <v>125</v>
      </c>
      <c r="P28" s="12">
        <v>0</v>
      </c>
    </row>
    <row r="29" spans="1:16" x14ac:dyDescent="0.3">
      <c r="A29" s="10">
        <v>46049</v>
      </c>
      <c r="B29" s="1">
        <v>6384.01</v>
      </c>
      <c r="C29" s="11">
        <f t="shared" si="0"/>
        <v>5803.6454545454544</v>
      </c>
      <c r="D29" s="11">
        <f t="shared" si="1"/>
        <v>580.36454545454546</v>
      </c>
      <c r="E29" s="1">
        <v>33630.49</v>
      </c>
      <c r="F29" s="11">
        <f t="shared" si="2"/>
        <v>30573.172727272722</v>
      </c>
      <c r="G29" s="11">
        <f t="shared" si="3"/>
        <v>3057.3172727272722</v>
      </c>
      <c r="H29" s="1">
        <v>4415.33</v>
      </c>
      <c r="I29" s="1">
        <f>35599.17-455-2209</f>
        <v>32935.17</v>
      </c>
      <c r="J29" s="1">
        <f>455+2209</f>
        <v>2664</v>
      </c>
      <c r="K29" s="2">
        <v>566</v>
      </c>
      <c r="L29" s="2">
        <v>290</v>
      </c>
      <c r="M29" s="12">
        <v>0</v>
      </c>
      <c r="N29" s="12">
        <v>0</v>
      </c>
      <c r="O29" s="12">
        <v>0</v>
      </c>
      <c r="P29" s="12">
        <v>0</v>
      </c>
    </row>
    <row r="30" spans="1:16" ht="13.8" customHeight="1" x14ac:dyDescent="0.3">
      <c r="A30" s="10">
        <v>46050</v>
      </c>
      <c r="B30" s="1">
        <v>4940</v>
      </c>
      <c r="C30" s="11">
        <f t="shared" si="0"/>
        <v>4490.909090909091</v>
      </c>
      <c r="D30" s="11">
        <f t="shared" si="1"/>
        <v>449.09090909090912</v>
      </c>
      <c r="E30" s="1">
        <v>23841</v>
      </c>
      <c r="F30" s="11">
        <f t="shared" si="2"/>
        <v>21673.63636363636</v>
      </c>
      <c r="G30" s="11">
        <f t="shared" si="3"/>
        <v>2167.363636363636</v>
      </c>
      <c r="H30" s="1">
        <v>5515</v>
      </c>
      <c r="I30" s="1">
        <f>23016-625</f>
        <v>22391</v>
      </c>
      <c r="J30" s="1">
        <v>625</v>
      </c>
      <c r="K30" s="2">
        <v>200</v>
      </c>
      <c r="L30" s="2">
        <v>402.5</v>
      </c>
      <c r="M30" s="12">
        <v>0</v>
      </c>
      <c r="N30" s="2">
        <v>250</v>
      </c>
      <c r="O30" s="12">
        <v>0</v>
      </c>
      <c r="P30" s="12">
        <v>0</v>
      </c>
    </row>
    <row r="31" spans="1:16" x14ac:dyDescent="0.3">
      <c r="A31" s="10">
        <v>46051</v>
      </c>
      <c r="B31" s="1">
        <v>2722</v>
      </c>
      <c r="C31" s="11">
        <f t="shared" si="0"/>
        <v>2474.5454545454545</v>
      </c>
      <c r="D31" s="11">
        <f t="shared" si="1"/>
        <v>247.45454545454547</v>
      </c>
      <c r="E31" s="1">
        <v>26198.5</v>
      </c>
      <c r="F31" s="11">
        <f t="shared" si="2"/>
        <v>23816.81818181818</v>
      </c>
      <c r="G31" s="11">
        <f t="shared" si="3"/>
        <v>2381.681818181818</v>
      </c>
      <c r="H31" s="1">
        <v>3064</v>
      </c>
      <c r="I31" s="1">
        <f>25856.5-1762-805</f>
        <v>23289.5</v>
      </c>
      <c r="J31" s="1">
        <f>1762+805</f>
        <v>2567</v>
      </c>
      <c r="K31" s="12">
        <v>0</v>
      </c>
      <c r="L31" s="2">
        <v>1084</v>
      </c>
      <c r="M31" s="2">
        <v>184</v>
      </c>
      <c r="N31" s="12">
        <v>0</v>
      </c>
      <c r="O31" s="12">
        <v>0</v>
      </c>
      <c r="P31" s="12">
        <v>0</v>
      </c>
    </row>
    <row r="32" spans="1:16" ht="13.8" customHeight="1" x14ac:dyDescent="0.3">
      <c r="A32" s="10">
        <v>46052</v>
      </c>
      <c r="B32" s="1">
        <v>4444</v>
      </c>
      <c r="C32" s="11">
        <f t="shared" si="0"/>
        <v>4039.9999999999995</v>
      </c>
      <c r="D32" s="11">
        <f t="shared" si="1"/>
        <v>404</v>
      </c>
      <c r="E32" s="1">
        <v>25792</v>
      </c>
      <c r="F32" s="11">
        <f t="shared" si="2"/>
        <v>23447.272727272724</v>
      </c>
      <c r="G32" s="11">
        <f t="shared" si="3"/>
        <v>2344.7272727272725</v>
      </c>
      <c r="H32" s="1">
        <v>2930</v>
      </c>
      <c r="I32" s="1">
        <f>26836-387-305</f>
        <v>26144</v>
      </c>
      <c r="J32" s="1">
        <f>387+305</f>
        <v>692</v>
      </c>
      <c r="K32" s="2">
        <v>100</v>
      </c>
      <c r="L32" s="2">
        <v>687.5</v>
      </c>
      <c r="M32" s="2">
        <v>260</v>
      </c>
      <c r="N32" s="2">
        <v>470</v>
      </c>
      <c r="O32" s="12">
        <v>0</v>
      </c>
      <c r="P32" s="12">
        <v>0</v>
      </c>
    </row>
    <row r="33" spans="1:16" ht="13.8" customHeight="1" x14ac:dyDescent="0.3">
      <c r="A33" s="10">
        <v>46053</v>
      </c>
      <c r="B33" s="1">
        <v>5177.5</v>
      </c>
      <c r="C33" s="11">
        <f t="shared" ref="C33" si="4">B33/1.1</f>
        <v>4706.8181818181811</v>
      </c>
      <c r="D33" s="11">
        <f t="shared" ref="D33" si="5">C33*0.1</f>
        <v>470.68181818181813</v>
      </c>
      <c r="E33" s="1">
        <v>28271</v>
      </c>
      <c r="F33" s="11">
        <f t="shared" ref="F33" si="6">E33/1.1</f>
        <v>25700.909090909088</v>
      </c>
      <c r="G33" s="11">
        <f t="shared" ref="G33" si="7">F33*0.1</f>
        <v>2570.090909090909</v>
      </c>
      <c r="H33" s="1">
        <v>6041.5</v>
      </c>
      <c r="I33" s="1">
        <f>26661.5-650-545</f>
        <v>25466.5</v>
      </c>
      <c r="J33" s="1">
        <f>650+545</f>
        <v>1195</v>
      </c>
      <c r="K33" s="2">
        <v>1534</v>
      </c>
      <c r="L33" s="2">
        <v>130</v>
      </c>
      <c r="M33" s="2">
        <v>371</v>
      </c>
      <c r="N33" s="12">
        <v>0</v>
      </c>
      <c r="O33" s="2">
        <v>745.5</v>
      </c>
      <c r="P33" s="12">
        <v>0</v>
      </c>
    </row>
    <row r="34" spans="1:16" x14ac:dyDescent="0.3">
      <c r="B34" s="14">
        <f>SUM(B3:B33)</f>
        <v>145401.44</v>
      </c>
      <c r="C34" s="15">
        <f t="shared" si="0"/>
        <v>132183.12727272726</v>
      </c>
      <c r="D34" s="15">
        <f t="shared" ref="D34" si="8">C34*10/100</f>
        <v>13218.312727272725</v>
      </c>
      <c r="E34" s="14">
        <f>SUM(E3:E33)</f>
        <v>758374.15999999992</v>
      </c>
      <c r="F34" s="15">
        <f t="shared" si="2"/>
        <v>689431.05454545445</v>
      </c>
      <c r="G34" s="15">
        <f t="shared" ref="G34" si="9">F34*10/100</f>
        <v>68943.105454545454</v>
      </c>
      <c r="H34" s="14">
        <f t="shared" ref="H34:N34" si="10">SUM(H3:H33)</f>
        <v>150316.22</v>
      </c>
      <c r="I34" s="14">
        <f t="shared" si="10"/>
        <v>699732.08000000007</v>
      </c>
      <c r="J34" s="16">
        <f t="shared" si="10"/>
        <v>43683</v>
      </c>
      <c r="K34" s="16">
        <f t="shared" si="10"/>
        <v>26052</v>
      </c>
      <c r="L34" s="16">
        <f t="shared" si="10"/>
        <v>9244</v>
      </c>
      <c r="M34" s="16">
        <f t="shared" si="10"/>
        <v>16905</v>
      </c>
      <c r="N34" s="16">
        <f t="shared" si="10"/>
        <v>5045</v>
      </c>
      <c r="O34" s="16">
        <f>SUM(O3:O33)</f>
        <v>4999.3</v>
      </c>
      <c r="P34" s="16">
        <f>SUM(P3:P33)</f>
        <v>2660</v>
      </c>
    </row>
    <row r="35" spans="1:16" x14ac:dyDescent="0.3">
      <c r="B35" s="17"/>
      <c r="C35" s="17"/>
      <c r="D35" s="17"/>
      <c r="E35" s="17"/>
      <c r="F35" s="17"/>
      <c r="G35" s="17"/>
      <c r="H35" s="17"/>
      <c r="I35" s="17"/>
      <c r="J35" s="17"/>
      <c r="K35" s="18"/>
      <c r="L35" s="18"/>
      <c r="M35" s="18"/>
      <c r="N35" s="18"/>
      <c r="O35" s="18"/>
      <c r="P35" s="18"/>
    </row>
    <row r="36" spans="1:16" x14ac:dyDescent="0.3">
      <c r="B36" s="7" t="s">
        <v>11</v>
      </c>
      <c r="D36" s="17"/>
      <c r="I36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90" zoomScaleNormal="90" workbookViewId="0">
      <pane ySplit="1" topLeftCell="A2" activePane="bottomLeft" state="frozen"/>
      <selection pane="bottomLeft" activeCell="B11" sqref="B11"/>
    </sheetView>
  </sheetViews>
  <sheetFormatPr defaultRowHeight="14.4" x14ac:dyDescent="0.3"/>
  <cols>
    <col min="1" max="1" width="10.88671875" style="13" bestFit="1" customWidth="1"/>
    <col min="2" max="2" width="12.6640625" style="7" customWidth="1"/>
    <col min="3" max="3" width="13.88671875" style="7" customWidth="1"/>
    <col min="4" max="4" width="14.88671875" style="7" customWidth="1"/>
    <col min="5" max="5" width="11.109375" style="7" bestFit="1" customWidth="1"/>
    <col min="6" max="6" width="11" style="7" bestFit="1" customWidth="1"/>
    <col min="7" max="7" width="9.88671875" style="7" bestFit="1" customWidth="1"/>
    <col min="8" max="8" width="11.109375" style="7" bestFit="1" customWidth="1"/>
    <col min="9" max="9" width="13.6640625" style="7" bestFit="1" customWidth="1"/>
    <col min="10" max="10" width="16.33203125" style="7" bestFit="1" customWidth="1"/>
    <col min="11" max="11" width="18" style="13" bestFit="1" customWidth="1"/>
    <col min="12" max="12" width="10.5546875" style="13" bestFit="1" customWidth="1"/>
    <col min="13" max="13" width="10" style="13" bestFit="1" customWidth="1"/>
    <col min="14" max="16" width="16.88671875" style="13" bestFit="1" customWidth="1"/>
    <col min="17" max="16384" width="8.88671875" style="7"/>
  </cols>
  <sheetData>
    <row r="1" spans="1:16" x14ac:dyDescent="0.3">
      <c r="A1" s="3" t="s">
        <v>0</v>
      </c>
      <c r="B1" s="4" t="s">
        <v>1</v>
      </c>
      <c r="C1" s="4"/>
      <c r="D1" s="4"/>
      <c r="E1" s="3" t="s">
        <v>2</v>
      </c>
      <c r="F1" s="4"/>
      <c r="G1" s="4"/>
      <c r="H1" s="4" t="s">
        <v>3</v>
      </c>
      <c r="I1" s="4" t="s">
        <v>4</v>
      </c>
      <c r="J1" s="5" t="s">
        <v>5</v>
      </c>
      <c r="K1" s="6" t="s">
        <v>6</v>
      </c>
      <c r="L1" s="6" t="s">
        <v>7</v>
      </c>
      <c r="M1" s="6" t="s">
        <v>8</v>
      </c>
      <c r="N1" s="6" t="s">
        <v>9</v>
      </c>
      <c r="O1" s="6" t="s">
        <v>10</v>
      </c>
      <c r="P1" s="6" t="s">
        <v>12</v>
      </c>
    </row>
    <row r="2" spans="1:16" x14ac:dyDescent="0.3">
      <c r="A2" s="8"/>
      <c r="B2" s="9">
        <v>0.1</v>
      </c>
      <c r="C2" s="9"/>
      <c r="D2" s="9"/>
      <c r="E2" s="9">
        <v>0.1</v>
      </c>
      <c r="F2" s="9"/>
      <c r="G2" s="9"/>
      <c r="H2" s="3"/>
      <c r="I2" s="3"/>
      <c r="J2" s="3"/>
      <c r="K2" s="3"/>
      <c r="L2" s="3"/>
      <c r="M2" s="3"/>
      <c r="N2" s="3"/>
      <c r="O2" s="3"/>
      <c r="P2" s="12"/>
    </row>
    <row r="3" spans="1:16" x14ac:dyDescent="0.3">
      <c r="A3" s="10">
        <v>46054</v>
      </c>
      <c r="B3" s="1">
        <v>4283</v>
      </c>
      <c r="C3" s="11">
        <f t="shared" ref="C3:C31" si="0">B3/1.1</f>
        <v>3893.6363636363635</v>
      </c>
      <c r="D3" s="11">
        <f t="shared" ref="D3:D30" si="1">C3*0.1</f>
        <v>389.36363636363637</v>
      </c>
      <c r="E3" s="1">
        <v>24544</v>
      </c>
      <c r="F3" s="11">
        <f t="shared" ref="F3:F31" si="2">E3/1.1</f>
        <v>22312.727272727272</v>
      </c>
      <c r="G3" s="11">
        <f t="shared" ref="G3:G30" si="3">F3*0.1</f>
        <v>2231.2727272727275</v>
      </c>
      <c r="H3" s="1">
        <v>5041</v>
      </c>
      <c r="I3" s="1">
        <f>23786-1234</f>
        <v>22552</v>
      </c>
      <c r="J3" s="1">
        <v>1234</v>
      </c>
      <c r="K3" s="2">
        <v>100</v>
      </c>
      <c r="L3" s="2">
        <v>417.5</v>
      </c>
      <c r="M3" s="2">
        <v>405</v>
      </c>
      <c r="N3" s="12">
        <v>0</v>
      </c>
      <c r="O3" s="12">
        <v>0</v>
      </c>
      <c r="P3" s="12">
        <v>0</v>
      </c>
    </row>
    <row r="4" spans="1:16" x14ac:dyDescent="0.3">
      <c r="A4" s="10">
        <v>46055</v>
      </c>
      <c r="B4" s="1">
        <v>5242.5</v>
      </c>
      <c r="C4" s="11">
        <f t="shared" si="0"/>
        <v>4765.9090909090901</v>
      </c>
      <c r="D4" s="11">
        <f t="shared" si="1"/>
        <v>476.59090909090901</v>
      </c>
      <c r="E4" s="1">
        <v>19567.5</v>
      </c>
      <c r="F4" s="11">
        <f t="shared" si="2"/>
        <v>17788.636363636364</v>
      </c>
      <c r="G4" s="11">
        <f t="shared" si="3"/>
        <v>1778.8636363636365</v>
      </c>
      <c r="H4" s="1">
        <v>6125.25</v>
      </c>
      <c r="I4" s="1">
        <f>18684.75-857.5</f>
        <v>17827.25</v>
      </c>
      <c r="J4" s="1">
        <v>857.5</v>
      </c>
      <c r="K4" s="2">
        <v>100</v>
      </c>
      <c r="L4" s="2">
        <v>265</v>
      </c>
      <c r="M4" s="12">
        <v>0</v>
      </c>
      <c r="N4" s="12">
        <v>0</v>
      </c>
      <c r="O4" s="12">
        <v>0</v>
      </c>
      <c r="P4" s="12">
        <v>0</v>
      </c>
    </row>
    <row r="5" spans="1:16" x14ac:dyDescent="0.3">
      <c r="A5" s="10">
        <v>46056</v>
      </c>
      <c r="B5" s="1">
        <v>4652.5</v>
      </c>
      <c r="C5" s="11">
        <f t="shared" si="0"/>
        <v>4229.545454545454</v>
      </c>
      <c r="D5" s="11">
        <f t="shared" si="1"/>
        <v>422.95454545454544</v>
      </c>
      <c r="E5" s="1">
        <v>24385.5</v>
      </c>
      <c r="F5" s="11">
        <f t="shared" si="2"/>
        <v>22168.63636363636</v>
      </c>
      <c r="G5" s="11">
        <f t="shared" si="3"/>
        <v>2216.863636363636</v>
      </c>
      <c r="H5" s="1">
        <v>6179.5</v>
      </c>
      <c r="I5" s="1">
        <f>22858.5-1155-500</f>
        <v>21203.5</v>
      </c>
      <c r="J5" s="1">
        <f>1155+500</f>
        <v>1655</v>
      </c>
      <c r="K5" s="12">
        <v>0</v>
      </c>
      <c r="L5" s="2">
        <v>409</v>
      </c>
      <c r="M5" s="2">
        <v>205</v>
      </c>
      <c r="N5" s="12">
        <v>0</v>
      </c>
      <c r="O5" s="12">
        <v>0</v>
      </c>
      <c r="P5" s="2">
        <v>885</v>
      </c>
    </row>
    <row r="6" spans="1:16" x14ac:dyDescent="0.3">
      <c r="A6" s="10">
        <v>46057</v>
      </c>
      <c r="B6" s="1">
        <v>8396</v>
      </c>
      <c r="C6" s="11">
        <f t="shared" si="0"/>
        <v>7632.7272727272721</v>
      </c>
      <c r="D6" s="11">
        <f t="shared" si="1"/>
        <v>763.27272727272725</v>
      </c>
      <c r="E6" s="1">
        <v>26227</v>
      </c>
      <c r="F6" s="11">
        <f t="shared" si="2"/>
        <v>23842.727272727272</v>
      </c>
      <c r="G6" s="11">
        <f t="shared" si="3"/>
        <v>2384.2727272727275</v>
      </c>
      <c r="H6" s="1">
        <v>6374.5</v>
      </c>
      <c r="I6" s="1">
        <f>27148.5-1560.5-320</f>
        <v>25268</v>
      </c>
      <c r="J6" s="1">
        <f>1560.5+320</f>
        <v>1880.5</v>
      </c>
      <c r="K6" s="2">
        <v>200</v>
      </c>
      <c r="L6" s="2">
        <v>805</v>
      </c>
      <c r="M6" s="2">
        <v>415</v>
      </c>
      <c r="N6" s="2">
        <v>1100</v>
      </c>
      <c r="O6" s="12">
        <v>0</v>
      </c>
      <c r="P6" s="12">
        <v>0</v>
      </c>
    </row>
    <row r="7" spans="1:16" x14ac:dyDescent="0.3">
      <c r="A7" s="10">
        <v>46058</v>
      </c>
      <c r="B7" s="1">
        <v>4924.5</v>
      </c>
      <c r="C7" s="11">
        <f t="shared" si="0"/>
        <v>4476.8181818181811</v>
      </c>
      <c r="D7" s="11">
        <f t="shared" si="1"/>
        <v>447.68181818181813</v>
      </c>
      <c r="E7" s="1">
        <v>26741.5</v>
      </c>
      <c r="F7" s="11">
        <f t="shared" si="2"/>
        <v>24310.454545454544</v>
      </c>
      <c r="G7" s="11">
        <f t="shared" si="3"/>
        <v>2431.0454545454545</v>
      </c>
      <c r="H7" s="1">
        <v>3896</v>
      </c>
      <c r="I7" s="1">
        <f>27770-1232-1330</f>
        <v>25208</v>
      </c>
      <c r="J7" s="1">
        <f>1232+1330</f>
        <v>2562</v>
      </c>
      <c r="K7" s="2">
        <v>355</v>
      </c>
      <c r="L7" s="2">
        <v>1125</v>
      </c>
      <c r="M7" s="2">
        <v>445</v>
      </c>
      <c r="N7" s="12">
        <v>0</v>
      </c>
      <c r="O7" s="12">
        <v>0</v>
      </c>
      <c r="P7" s="12">
        <v>0</v>
      </c>
    </row>
    <row r="8" spans="1:16" x14ac:dyDescent="0.3">
      <c r="A8" s="10">
        <v>46059</v>
      </c>
      <c r="B8" s="1">
        <v>5781</v>
      </c>
      <c r="C8" s="11">
        <f t="shared" si="0"/>
        <v>5255.454545454545</v>
      </c>
      <c r="D8" s="11">
        <f t="shared" si="1"/>
        <v>525.5454545454545</v>
      </c>
      <c r="E8" s="1">
        <v>28725</v>
      </c>
      <c r="F8" s="11">
        <f t="shared" si="2"/>
        <v>26113.63636363636</v>
      </c>
      <c r="G8" s="11">
        <f t="shared" si="3"/>
        <v>2611.363636363636</v>
      </c>
      <c r="H8" s="1">
        <f>6526</f>
        <v>6526</v>
      </c>
      <c r="I8" s="1">
        <f>27645-440-605</f>
        <v>26600</v>
      </c>
      <c r="J8" s="1">
        <f>440+605</f>
        <v>1045</v>
      </c>
      <c r="K8" s="2">
        <v>660</v>
      </c>
      <c r="L8" s="2">
        <v>525</v>
      </c>
      <c r="M8" s="2">
        <v>441</v>
      </c>
      <c r="N8" s="2">
        <v>335</v>
      </c>
      <c r="O8" s="12">
        <v>0</v>
      </c>
      <c r="P8" s="2">
        <v>150</v>
      </c>
    </row>
    <row r="9" spans="1:16" x14ac:dyDescent="0.3">
      <c r="A9" s="10">
        <v>46060</v>
      </c>
      <c r="B9" s="1">
        <v>6062.5</v>
      </c>
      <c r="C9" s="11">
        <f t="shared" si="0"/>
        <v>5511.363636363636</v>
      </c>
      <c r="D9" s="11">
        <f t="shared" si="1"/>
        <v>551.13636363636363</v>
      </c>
      <c r="E9" s="1">
        <v>31234</v>
      </c>
      <c r="F9" s="11">
        <f t="shared" si="2"/>
        <v>28394.545454545452</v>
      </c>
      <c r="G9" s="11">
        <f t="shared" si="3"/>
        <v>2839.4545454545455</v>
      </c>
      <c r="H9" s="1">
        <v>4446.5</v>
      </c>
      <c r="I9" s="1">
        <f>32850-2935</f>
        <v>29915</v>
      </c>
      <c r="J9" s="1">
        <v>2935</v>
      </c>
      <c r="K9" s="2">
        <v>1178</v>
      </c>
      <c r="L9" s="2">
        <v>1113</v>
      </c>
      <c r="M9" s="2">
        <v>1448</v>
      </c>
      <c r="N9" s="12">
        <v>0</v>
      </c>
      <c r="O9" s="12">
        <v>0</v>
      </c>
      <c r="P9" s="12">
        <v>0</v>
      </c>
    </row>
    <row r="10" spans="1:16" x14ac:dyDescent="0.3">
      <c r="A10" s="10">
        <v>46061</v>
      </c>
      <c r="B10" s="1">
        <v>5105</v>
      </c>
      <c r="C10" s="11">
        <f t="shared" si="0"/>
        <v>4640.9090909090901</v>
      </c>
      <c r="D10" s="11">
        <f t="shared" si="1"/>
        <v>464.09090909090901</v>
      </c>
      <c r="E10" s="1">
        <v>25396.5</v>
      </c>
      <c r="F10" s="11">
        <f t="shared" si="2"/>
        <v>23087.727272727272</v>
      </c>
      <c r="G10" s="11">
        <f t="shared" si="3"/>
        <v>2308.7727272727275</v>
      </c>
      <c r="H10" s="1">
        <v>3515</v>
      </c>
      <c r="I10" s="1">
        <f>26986.5-1498.5-220</f>
        <v>25268</v>
      </c>
      <c r="J10" s="1">
        <f>1498.5+220</f>
        <v>1718.5</v>
      </c>
      <c r="K10" s="12">
        <v>0</v>
      </c>
      <c r="L10" s="12">
        <v>0</v>
      </c>
      <c r="M10" s="2">
        <v>505</v>
      </c>
      <c r="N10" s="12">
        <v>0</v>
      </c>
      <c r="O10" s="12">
        <v>0</v>
      </c>
      <c r="P10" s="12">
        <v>0</v>
      </c>
    </row>
    <row r="11" spans="1:16" x14ac:dyDescent="0.3">
      <c r="A11" s="10">
        <v>46062</v>
      </c>
      <c r="B11" s="11"/>
      <c r="C11" s="11">
        <f t="shared" si="0"/>
        <v>0</v>
      </c>
      <c r="D11" s="11">
        <f t="shared" si="1"/>
        <v>0</v>
      </c>
      <c r="E11" s="11"/>
      <c r="F11" s="11">
        <f t="shared" si="2"/>
        <v>0</v>
      </c>
      <c r="G11" s="11">
        <f t="shared" si="3"/>
        <v>0</v>
      </c>
      <c r="H11" s="11"/>
      <c r="I11" s="11"/>
      <c r="J11" s="11"/>
      <c r="K11" s="12"/>
      <c r="L11" s="12"/>
      <c r="M11" s="12"/>
      <c r="N11" s="12"/>
      <c r="O11" s="12"/>
      <c r="P11" s="12"/>
    </row>
    <row r="12" spans="1:16" x14ac:dyDescent="0.3">
      <c r="A12" s="10">
        <v>46063</v>
      </c>
      <c r="B12" s="11"/>
      <c r="C12" s="11">
        <f t="shared" si="0"/>
        <v>0</v>
      </c>
      <c r="D12" s="11">
        <f t="shared" si="1"/>
        <v>0</v>
      </c>
      <c r="E12" s="11"/>
      <c r="F12" s="11">
        <f t="shared" si="2"/>
        <v>0</v>
      </c>
      <c r="G12" s="11">
        <f t="shared" si="3"/>
        <v>0</v>
      </c>
      <c r="H12" s="11"/>
      <c r="I12" s="11"/>
      <c r="J12" s="11"/>
      <c r="K12" s="12"/>
      <c r="L12" s="12"/>
      <c r="M12" s="12"/>
      <c r="N12" s="12"/>
      <c r="O12" s="12"/>
      <c r="P12" s="12"/>
    </row>
    <row r="13" spans="1:16" x14ac:dyDescent="0.3">
      <c r="A13" s="10">
        <v>46064</v>
      </c>
      <c r="B13" s="11"/>
      <c r="C13" s="11">
        <f t="shared" si="0"/>
        <v>0</v>
      </c>
      <c r="D13" s="11">
        <f t="shared" si="1"/>
        <v>0</v>
      </c>
      <c r="E13" s="11"/>
      <c r="F13" s="11">
        <f t="shared" si="2"/>
        <v>0</v>
      </c>
      <c r="G13" s="11">
        <f t="shared" si="3"/>
        <v>0</v>
      </c>
      <c r="H13" s="11"/>
      <c r="I13" s="11"/>
      <c r="J13" s="11"/>
      <c r="K13" s="12"/>
      <c r="L13" s="12"/>
      <c r="M13" s="12"/>
      <c r="N13" s="12"/>
      <c r="O13" s="12"/>
      <c r="P13" s="12"/>
    </row>
    <row r="14" spans="1:16" x14ac:dyDescent="0.3">
      <c r="A14" s="10">
        <v>46065</v>
      </c>
      <c r="B14" s="11"/>
      <c r="C14" s="11">
        <f t="shared" si="0"/>
        <v>0</v>
      </c>
      <c r="D14" s="11">
        <f t="shared" si="1"/>
        <v>0</v>
      </c>
      <c r="E14" s="11"/>
      <c r="F14" s="11">
        <f t="shared" si="2"/>
        <v>0</v>
      </c>
      <c r="G14" s="11">
        <f t="shared" si="3"/>
        <v>0</v>
      </c>
      <c r="H14" s="11"/>
      <c r="I14" s="11"/>
      <c r="J14" s="11"/>
      <c r="K14" s="12"/>
      <c r="L14" s="12"/>
      <c r="M14" s="12"/>
      <c r="N14" s="12"/>
      <c r="O14" s="12"/>
      <c r="P14" s="12"/>
    </row>
    <row r="15" spans="1:16" x14ac:dyDescent="0.3">
      <c r="A15" s="10">
        <v>46066</v>
      </c>
      <c r="B15" s="11"/>
      <c r="C15" s="11">
        <f t="shared" si="0"/>
        <v>0</v>
      </c>
      <c r="D15" s="11">
        <f t="shared" si="1"/>
        <v>0</v>
      </c>
      <c r="E15" s="11"/>
      <c r="F15" s="11">
        <f t="shared" si="2"/>
        <v>0</v>
      </c>
      <c r="G15" s="11">
        <f t="shared" si="3"/>
        <v>0</v>
      </c>
      <c r="H15" s="11"/>
      <c r="I15" s="11"/>
      <c r="J15" s="11"/>
      <c r="K15" s="12"/>
      <c r="L15" s="12"/>
      <c r="M15" s="12"/>
      <c r="N15" s="12"/>
      <c r="O15" s="12"/>
      <c r="P15" s="12"/>
    </row>
    <row r="16" spans="1:16" x14ac:dyDescent="0.3">
      <c r="A16" s="10">
        <v>46067</v>
      </c>
      <c r="B16" s="19"/>
      <c r="C16" s="11">
        <f t="shared" si="0"/>
        <v>0</v>
      </c>
      <c r="D16" s="11">
        <f t="shared" si="1"/>
        <v>0</v>
      </c>
      <c r="E16" s="19"/>
      <c r="F16" s="11">
        <f t="shared" si="2"/>
        <v>0</v>
      </c>
      <c r="G16" s="11">
        <f t="shared" si="3"/>
        <v>0</v>
      </c>
      <c r="H16" s="11"/>
      <c r="I16" s="11"/>
      <c r="J16" s="11"/>
      <c r="K16" s="12"/>
      <c r="L16" s="12"/>
      <c r="M16" s="12"/>
      <c r="N16" s="12"/>
      <c r="O16" s="12"/>
      <c r="P16" s="12"/>
    </row>
    <row r="17" spans="1:16" ht="15" customHeight="1" x14ac:dyDescent="0.3">
      <c r="A17" s="10">
        <v>46068</v>
      </c>
      <c r="B17" s="11"/>
      <c r="C17" s="11">
        <f t="shared" si="0"/>
        <v>0</v>
      </c>
      <c r="D17" s="11">
        <f t="shared" si="1"/>
        <v>0</v>
      </c>
      <c r="E17" s="11"/>
      <c r="F17" s="11">
        <f t="shared" si="2"/>
        <v>0</v>
      </c>
      <c r="G17" s="11">
        <f t="shared" si="3"/>
        <v>0</v>
      </c>
      <c r="H17" s="11"/>
      <c r="I17" s="11"/>
      <c r="J17" s="11"/>
      <c r="K17" s="12"/>
      <c r="L17" s="12"/>
      <c r="M17" s="12"/>
      <c r="N17" s="12"/>
      <c r="O17" s="12"/>
      <c r="P17" s="12"/>
    </row>
    <row r="18" spans="1:16" x14ac:dyDescent="0.3">
      <c r="A18" s="10">
        <v>46069</v>
      </c>
      <c r="B18" s="11"/>
      <c r="C18" s="11">
        <f t="shared" si="0"/>
        <v>0</v>
      </c>
      <c r="D18" s="11">
        <f t="shared" si="1"/>
        <v>0</v>
      </c>
      <c r="E18" s="11"/>
      <c r="F18" s="11">
        <f t="shared" si="2"/>
        <v>0</v>
      </c>
      <c r="G18" s="11">
        <f t="shared" si="3"/>
        <v>0</v>
      </c>
      <c r="H18" s="11"/>
      <c r="I18" s="11"/>
      <c r="J18" s="11"/>
      <c r="K18" s="12"/>
      <c r="L18" s="12"/>
      <c r="M18" s="12"/>
      <c r="N18" s="12"/>
      <c r="O18" s="12"/>
      <c r="P18" s="12"/>
    </row>
    <row r="19" spans="1:16" x14ac:dyDescent="0.3">
      <c r="A19" s="10">
        <v>46070</v>
      </c>
      <c r="B19" s="11"/>
      <c r="C19" s="11">
        <f t="shared" si="0"/>
        <v>0</v>
      </c>
      <c r="D19" s="11">
        <f t="shared" si="1"/>
        <v>0</v>
      </c>
      <c r="E19" s="11"/>
      <c r="F19" s="11">
        <f t="shared" si="2"/>
        <v>0</v>
      </c>
      <c r="G19" s="11">
        <f t="shared" si="3"/>
        <v>0</v>
      </c>
      <c r="H19" s="11"/>
      <c r="I19" s="11"/>
      <c r="J19" s="11"/>
      <c r="K19" s="12"/>
      <c r="L19" s="12"/>
      <c r="M19" s="12"/>
      <c r="N19" s="12"/>
      <c r="O19" s="12"/>
      <c r="P19" s="12"/>
    </row>
    <row r="20" spans="1:16" x14ac:dyDescent="0.3">
      <c r="A20" s="10">
        <v>46071</v>
      </c>
      <c r="B20" s="11"/>
      <c r="C20" s="11">
        <f t="shared" si="0"/>
        <v>0</v>
      </c>
      <c r="D20" s="11">
        <f t="shared" si="1"/>
        <v>0</v>
      </c>
      <c r="E20" s="11"/>
      <c r="F20" s="11">
        <f t="shared" si="2"/>
        <v>0</v>
      </c>
      <c r="G20" s="11">
        <f t="shared" si="3"/>
        <v>0</v>
      </c>
      <c r="H20" s="11"/>
      <c r="I20" s="11"/>
      <c r="J20" s="11"/>
      <c r="K20" s="12"/>
      <c r="L20" s="12"/>
      <c r="M20" s="12"/>
      <c r="N20" s="12"/>
      <c r="O20" s="12"/>
      <c r="P20" s="12"/>
    </row>
    <row r="21" spans="1:16" x14ac:dyDescent="0.3">
      <c r="A21" s="10">
        <v>46072</v>
      </c>
      <c r="B21" s="11"/>
      <c r="C21" s="11">
        <f t="shared" si="0"/>
        <v>0</v>
      </c>
      <c r="D21" s="11">
        <f t="shared" si="1"/>
        <v>0</v>
      </c>
      <c r="E21" s="11"/>
      <c r="F21" s="11">
        <f t="shared" si="2"/>
        <v>0</v>
      </c>
      <c r="G21" s="11">
        <f t="shared" si="3"/>
        <v>0</v>
      </c>
      <c r="H21" s="11"/>
      <c r="I21" s="11"/>
      <c r="J21" s="11"/>
      <c r="K21" s="12"/>
      <c r="L21" s="12"/>
      <c r="M21" s="12"/>
      <c r="N21" s="12"/>
      <c r="O21" s="12"/>
      <c r="P21" s="12"/>
    </row>
    <row r="22" spans="1:16" s="21" customFormat="1" x14ac:dyDescent="0.3">
      <c r="A22" s="10">
        <v>46073</v>
      </c>
      <c r="B22" s="19"/>
      <c r="C22" s="19">
        <f t="shared" si="0"/>
        <v>0</v>
      </c>
      <c r="D22" s="19">
        <f t="shared" si="1"/>
        <v>0</v>
      </c>
      <c r="E22" s="19"/>
      <c r="F22" s="19">
        <f t="shared" si="2"/>
        <v>0</v>
      </c>
      <c r="G22" s="19">
        <f t="shared" si="3"/>
        <v>0</v>
      </c>
      <c r="H22" s="19"/>
      <c r="I22" s="19"/>
      <c r="J22" s="19"/>
      <c r="K22" s="20"/>
      <c r="L22" s="20"/>
      <c r="M22" s="20"/>
      <c r="N22" s="20"/>
      <c r="O22" s="20"/>
      <c r="P22" s="12"/>
    </row>
    <row r="23" spans="1:16" s="21" customFormat="1" ht="15" customHeight="1" x14ac:dyDescent="0.3">
      <c r="A23" s="10">
        <v>46074</v>
      </c>
      <c r="B23" s="19"/>
      <c r="C23" s="19">
        <f t="shared" si="0"/>
        <v>0</v>
      </c>
      <c r="D23" s="19">
        <f t="shared" si="1"/>
        <v>0</v>
      </c>
      <c r="E23" s="19"/>
      <c r="F23" s="19">
        <f t="shared" si="2"/>
        <v>0</v>
      </c>
      <c r="G23" s="19">
        <f t="shared" si="3"/>
        <v>0</v>
      </c>
      <c r="H23" s="19"/>
      <c r="I23" s="19"/>
      <c r="J23" s="19"/>
      <c r="K23" s="20"/>
      <c r="L23" s="20"/>
      <c r="M23" s="20"/>
      <c r="N23" s="20"/>
      <c r="O23" s="20"/>
      <c r="P23" s="12"/>
    </row>
    <row r="24" spans="1:16" x14ac:dyDescent="0.3">
      <c r="A24" s="10">
        <v>46075</v>
      </c>
      <c r="B24" s="11"/>
      <c r="C24" s="11">
        <f t="shared" si="0"/>
        <v>0</v>
      </c>
      <c r="D24" s="11">
        <f t="shared" si="1"/>
        <v>0</v>
      </c>
      <c r="E24" s="11"/>
      <c r="F24" s="11">
        <f t="shared" si="2"/>
        <v>0</v>
      </c>
      <c r="G24" s="11">
        <f t="shared" si="3"/>
        <v>0</v>
      </c>
      <c r="H24" s="11"/>
      <c r="I24" s="11"/>
      <c r="J24" s="11"/>
      <c r="K24" s="12"/>
      <c r="L24" s="12"/>
      <c r="M24" s="12"/>
      <c r="N24" s="12"/>
      <c r="O24" s="12"/>
      <c r="P24" s="12"/>
    </row>
    <row r="25" spans="1:16" x14ac:dyDescent="0.3">
      <c r="A25" s="10">
        <v>46076</v>
      </c>
      <c r="B25" s="11"/>
      <c r="C25" s="11">
        <f t="shared" si="0"/>
        <v>0</v>
      </c>
      <c r="D25" s="11">
        <f t="shared" si="1"/>
        <v>0</v>
      </c>
      <c r="E25" s="11"/>
      <c r="F25" s="11">
        <f t="shared" si="2"/>
        <v>0</v>
      </c>
      <c r="G25" s="11">
        <f t="shared" si="3"/>
        <v>0</v>
      </c>
      <c r="H25" s="11"/>
      <c r="I25" s="11"/>
      <c r="J25" s="11"/>
      <c r="K25" s="12"/>
      <c r="L25" s="12"/>
      <c r="M25" s="12"/>
      <c r="N25" s="12"/>
      <c r="O25" s="12"/>
      <c r="P25" s="12"/>
    </row>
    <row r="26" spans="1:16" x14ac:dyDescent="0.3">
      <c r="A26" s="10">
        <v>46077</v>
      </c>
      <c r="B26" s="11"/>
      <c r="C26" s="11">
        <f t="shared" si="0"/>
        <v>0</v>
      </c>
      <c r="D26" s="11">
        <f t="shared" si="1"/>
        <v>0</v>
      </c>
      <c r="E26" s="11"/>
      <c r="F26" s="11">
        <f t="shared" si="2"/>
        <v>0</v>
      </c>
      <c r="G26" s="11">
        <f t="shared" si="3"/>
        <v>0</v>
      </c>
      <c r="H26" s="11"/>
      <c r="I26" s="11"/>
      <c r="J26" s="11"/>
      <c r="K26" s="12"/>
      <c r="L26" s="12"/>
      <c r="M26" s="12"/>
      <c r="N26" s="12"/>
      <c r="O26" s="12"/>
      <c r="P26" s="12"/>
    </row>
    <row r="27" spans="1:16" x14ac:dyDescent="0.3">
      <c r="A27" s="10">
        <v>46078</v>
      </c>
      <c r="B27" s="11"/>
      <c r="C27" s="11">
        <f t="shared" si="0"/>
        <v>0</v>
      </c>
      <c r="D27" s="11">
        <f t="shared" si="1"/>
        <v>0</v>
      </c>
      <c r="E27" s="11"/>
      <c r="F27" s="11">
        <f t="shared" si="2"/>
        <v>0</v>
      </c>
      <c r="G27" s="11">
        <f t="shared" si="3"/>
        <v>0</v>
      </c>
      <c r="H27" s="11"/>
      <c r="I27" s="11"/>
      <c r="J27" s="11"/>
      <c r="K27" s="12"/>
      <c r="L27" s="12"/>
      <c r="M27" s="12"/>
      <c r="N27" s="12"/>
      <c r="O27" s="12"/>
      <c r="P27" s="12"/>
    </row>
    <row r="28" spans="1:16" x14ac:dyDescent="0.3">
      <c r="A28" s="10">
        <v>46079</v>
      </c>
      <c r="B28" s="11"/>
      <c r="C28" s="11">
        <f t="shared" si="0"/>
        <v>0</v>
      </c>
      <c r="D28" s="11">
        <f t="shared" si="1"/>
        <v>0</v>
      </c>
      <c r="E28" s="11"/>
      <c r="F28" s="11">
        <f t="shared" si="2"/>
        <v>0</v>
      </c>
      <c r="G28" s="11">
        <f t="shared" si="3"/>
        <v>0</v>
      </c>
      <c r="H28" s="11"/>
      <c r="I28" s="11"/>
      <c r="J28" s="11"/>
      <c r="K28" s="12"/>
      <c r="L28" s="12"/>
      <c r="M28" s="12"/>
      <c r="N28" s="12"/>
      <c r="O28" s="12"/>
      <c r="P28" s="12"/>
    </row>
    <row r="29" spans="1:16" x14ac:dyDescent="0.3">
      <c r="A29" s="10">
        <v>46080</v>
      </c>
      <c r="B29" s="11"/>
      <c r="C29" s="11">
        <f t="shared" si="0"/>
        <v>0</v>
      </c>
      <c r="D29" s="11">
        <f t="shared" si="1"/>
        <v>0</v>
      </c>
      <c r="E29" s="11"/>
      <c r="F29" s="11">
        <f t="shared" si="2"/>
        <v>0</v>
      </c>
      <c r="G29" s="11">
        <f t="shared" si="3"/>
        <v>0</v>
      </c>
      <c r="H29" s="11"/>
      <c r="I29" s="11"/>
      <c r="J29" s="11"/>
      <c r="K29" s="12"/>
      <c r="L29" s="12"/>
      <c r="M29" s="12"/>
      <c r="N29" s="12"/>
      <c r="O29" s="12"/>
      <c r="P29" s="12"/>
    </row>
    <row r="30" spans="1:16" ht="13.8" customHeight="1" x14ac:dyDescent="0.3">
      <c r="A30" s="10">
        <v>46081</v>
      </c>
      <c r="B30" s="11"/>
      <c r="C30" s="11">
        <f t="shared" si="0"/>
        <v>0</v>
      </c>
      <c r="D30" s="11">
        <f t="shared" si="1"/>
        <v>0</v>
      </c>
      <c r="E30" s="11"/>
      <c r="F30" s="11">
        <f t="shared" si="2"/>
        <v>0</v>
      </c>
      <c r="G30" s="11">
        <f t="shared" si="3"/>
        <v>0</v>
      </c>
      <c r="H30" s="11"/>
      <c r="I30" s="11"/>
      <c r="J30" s="11"/>
      <c r="K30" s="12"/>
      <c r="L30" s="12"/>
      <c r="M30" s="12"/>
      <c r="N30" s="12"/>
      <c r="O30" s="12"/>
      <c r="P30" s="12"/>
    </row>
    <row r="31" spans="1:16" x14ac:dyDescent="0.3">
      <c r="B31" s="14">
        <f>SUM(B3:B30)</f>
        <v>44447</v>
      </c>
      <c r="C31" s="15">
        <f t="shared" si="0"/>
        <v>40406.363636363632</v>
      </c>
      <c r="D31" s="15">
        <f t="shared" ref="D31" si="4">C31*10/100</f>
        <v>4040.6363636363635</v>
      </c>
      <c r="E31" s="14">
        <f>SUM(E3:E30)</f>
        <v>206821</v>
      </c>
      <c r="F31" s="15">
        <f t="shared" si="2"/>
        <v>188019.09090909088</v>
      </c>
      <c r="G31" s="15">
        <f t="shared" ref="G31" si="5">F31*10/100</f>
        <v>18801.909090909088</v>
      </c>
      <c r="H31" s="14">
        <f t="shared" ref="H31:P31" si="6">SUM(H3:H30)</f>
        <v>42103.75</v>
      </c>
      <c r="I31" s="14">
        <f t="shared" si="6"/>
        <v>193841.75</v>
      </c>
      <c r="J31" s="16">
        <f t="shared" si="6"/>
        <v>13887.5</v>
      </c>
      <c r="K31" s="16">
        <f t="shared" si="6"/>
        <v>2593</v>
      </c>
      <c r="L31" s="16">
        <f t="shared" si="6"/>
        <v>4659.5</v>
      </c>
      <c r="M31" s="16">
        <f t="shared" si="6"/>
        <v>3864</v>
      </c>
      <c r="N31" s="16">
        <f t="shared" si="6"/>
        <v>1435</v>
      </c>
      <c r="O31" s="16">
        <f t="shared" si="6"/>
        <v>0</v>
      </c>
      <c r="P31" s="16">
        <f t="shared" si="6"/>
        <v>1035</v>
      </c>
    </row>
    <row r="32" spans="1:16" x14ac:dyDescent="0.3">
      <c r="B32" s="17"/>
      <c r="C32" s="17"/>
      <c r="D32" s="17"/>
      <c r="E32" s="17"/>
      <c r="F32" s="17"/>
      <c r="G32" s="17"/>
      <c r="H32" s="17"/>
      <c r="I32" s="17"/>
      <c r="J32" s="17"/>
      <c r="K32" s="18"/>
      <c r="L32" s="18"/>
      <c r="M32" s="18"/>
      <c r="N32" s="18"/>
      <c r="O32" s="18"/>
      <c r="P32" s="18"/>
    </row>
    <row r="33" spans="2:9" x14ac:dyDescent="0.3">
      <c r="B33" s="7" t="s">
        <v>11</v>
      </c>
      <c r="D33" s="17"/>
      <c r="I33" s="1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OCAK</vt:lpstr>
      <vt:lpstr>ŞUBAT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2023-03-28T06:21:12Z</dcterms:created>
  <dcterms:modified xsi:type="dcterms:W3CDTF">2026-02-09T09:07:45Z</dcterms:modified>
  <cp:category/>
  <cp:contentStatus/>
</cp:coreProperties>
</file>